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lcsvenska-my.sharepoint.com/personal/daniel_englund_slc_fi/Documents/Ekonomilaboratoriet/Ekonomiverktygsback/"/>
    </mc:Choice>
  </mc:AlternateContent>
  <xr:revisionPtr revIDLastSave="570" documentId="8_{D3D994A6-393F-4CA1-9124-A06577A2FD9A}" xr6:coauthVersionLast="47" xr6:coauthVersionMax="47" xr10:uidLastSave="{35955C05-A195-45DC-B6CA-D8A5F945A481}"/>
  <bookViews>
    <workbookView xWindow="-110" yWindow="-110" windowWidth="19420" windowHeight="10420" xr2:uid="{0BDD8160-85EE-42DA-822E-E22A11388942}"/>
  </bookViews>
  <sheets>
    <sheet name="Nyckeltal" sheetId="1" r:id="rId1"/>
    <sheet name="Blad1" sheetId="3" r:id="rId2"/>
    <sheet name="ResultatanalysEXEMPEL" sheetId="2" r:id="rId3"/>
    <sheet name="Blad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3" l="1"/>
  <c r="N9" i="3"/>
  <c r="N8" i="3"/>
  <c r="N7" i="3"/>
  <c r="C52" i="1"/>
  <c r="C50" i="1"/>
  <c r="C47" i="1"/>
  <c r="C44" i="1"/>
  <c r="B43" i="1"/>
  <c r="C41" i="1"/>
  <c r="C30" i="1"/>
  <c r="B29" i="1"/>
  <c r="C25" i="1"/>
  <c r="AY33" i="2"/>
  <c r="AX33" i="2"/>
  <c r="AY12" i="2"/>
  <c r="AY11" i="2"/>
  <c r="AY7" i="2"/>
  <c r="AY6" i="2"/>
  <c r="N20" i="3"/>
  <c r="N19" i="3"/>
  <c r="N18" i="3"/>
  <c r="N17" i="3"/>
  <c r="N16" i="3"/>
  <c r="N15" i="3"/>
  <c r="N14" i="3"/>
  <c r="N13" i="3"/>
  <c r="N12" i="3"/>
  <c r="N11" i="3"/>
  <c r="AY17" i="2"/>
  <c r="AY16" i="2"/>
  <c r="AY15" i="2" l="1"/>
  <c r="AY19" i="2"/>
  <c r="AY18" i="2"/>
  <c r="AY14" i="2"/>
  <c r="AY13" i="2"/>
  <c r="AY10" i="2"/>
  <c r="AY9" i="2"/>
  <c r="AY8" i="2"/>
  <c r="B2" i="2"/>
  <c r="F56" i="2"/>
  <c r="F43" i="2"/>
  <c r="C56" i="2"/>
  <c r="C43" i="2"/>
  <c r="BB11" i="2" l="1"/>
  <c r="C56" i="1" l="1"/>
  <c r="C39" i="1"/>
  <c r="C35" i="1"/>
  <c r="C32" i="1"/>
  <c r="C17" i="1"/>
  <c r="L28" i="1"/>
  <c r="L39" i="1" l="1"/>
  <c r="L35" i="1"/>
  <c r="B49" i="1"/>
  <c r="C54" i="1" l="1"/>
  <c r="L41" i="1"/>
  <c r="B46" i="1"/>
  <c r="C58" i="1" l="1"/>
  <c r="C64" i="1" l="1"/>
  <c r="C66" i="1" s="1"/>
  <c r="C60" i="1"/>
  <c r="C62" i="1" s="1"/>
</calcChain>
</file>

<file path=xl/sharedStrings.xml><?xml version="1.0" encoding="utf-8"?>
<sst xmlns="http://schemas.openxmlformats.org/spreadsheetml/2006/main" count="206" uniqueCount="168">
  <si>
    <t>Nyckeltalsuträknare</t>
  </si>
  <si>
    <t>Stöd</t>
  </si>
  <si>
    <t>Försäljningsintäkter (moms 0 %)</t>
  </si>
  <si>
    <t>Ökning av produktlager och husdjursegendom</t>
  </si>
  <si>
    <t>Minskning av produktlager och husdjursegendom</t>
  </si>
  <si>
    <t>Inre överföringar till andra driftsgrenar</t>
  </si>
  <si>
    <t>foder, utsäde och andra produkter som har producerats och använts i företaget</t>
  </si>
  <si>
    <t>Fördelning av investeringsstöd för året</t>
  </si>
  <si>
    <t>Övriga intäkter från jordbruk</t>
  </si>
  <si>
    <t>Rörliga kostnader</t>
  </si>
  <si>
    <t>Fasta kostnader</t>
  </si>
  <si>
    <t>Företagarfamiljens lönekrav</t>
  </si>
  <si>
    <t>DRIFTSBIDRAG</t>
  </si>
  <si>
    <t>BRUTTOINTÄKTER</t>
  </si>
  <si>
    <t>OMSÄTTNING</t>
  </si>
  <si>
    <t>DRIFTSBIDRAGS-%</t>
  </si>
  <si>
    <t>Avskrivningar</t>
  </si>
  <si>
    <t>RÖRELSERESULTAT</t>
  </si>
  <si>
    <t>Finansiella intäkter</t>
  </si>
  <si>
    <t>HJÄLPKALKYLER</t>
  </si>
  <si>
    <t>€/h</t>
  </si>
  <si>
    <t>h arbetade i företagarfamiljen (Skall inte synas som utbetald lön i blankett 2)</t>
  </si>
  <si>
    <t>€</t>
  </si>
  <si>
    <t>Räntor och finansiella utgifter</t>
  </si>
  <si>
    <t>NETTORESULTAT</t>
  </si>
  <si>
    <t>NETTORESULTAT-%</t>
  </si>
  <si>
    <t>Räntekrav på eget kapital</t>
  </si>
  <si>
    <t>eget kapital</t>
  </si>
  <si>
    <t>FÖRETAGARVINST</t>
  </si>
  <si>
    <t>Balansräkningens slutsumma</t>
  </si>
  <si>
    <t>SOLIDITET</t>
  </si>
  <si>
    <t>RELATIV SKULDSÄTTNING</t>
  </si>
  <si>
    <t>Främmande kapital (lån)</t>
  </si>
  <si>
    <t>Främmande kapital</t>
  </si>
  <si>
    <t>TOTALKAPITALETS AVKASTNING</t>
  </si>
  <si>
    <t>Eget kapital</t>
  </si>
  <si>
    <t>Totalt kapital</t>
  </si>
  <si>
    <t>Kapital</t>
  </si>
  <si>
    <t>TOTALKAPITALETS AVKASTNINGS-%</t>
  </si>
  <si>
    <t>LANTBRUKSINKOMST</t>
  </si>
  <si>
    <t>LÖNSAMHETSKVOT</t>
  </si>
  <si>
    <t>ARBETSFÖRTJÄNST</t>
  </si>
  <si>
    <t>ARBETSFÖRTJÄNST PER ARBETSTIMME</t>
  </si>
  <si>
    <t>AVKASTNING PÅ EGET KAPITAL (nettoresultat)</t>
  </si>
  <si>
    <t>AVKASTNINGS-% PÅ EGET KAPITAL</t>
  </si>
  <si>
    <t>https://portal.mtt.fi/portal/page/portal/ekonomidoktorn/</t>
  </si>
  <si>
    <t>Jämför dina nyckeltal på</t>
  </si>
  <si>
    <t>https://portal.mtt.fi/portal/page/portal/ekonomidoktorn/lonsamhetsbokforing/egna_val/filer/Bilaga%202%20Ber%C3%A4kning%20och%20tolkning%20av%20nyckeltal_konto%C3%A5r%202019.pdf</t>
  </si>
  <si>
    <t>Gjord enligt Lukes guide:</t>
  </si>
  <si>
    <t>Kopiera och lägg in i webbläsaren för att få fram den</t>
  </si>
  <si>
    <r>
      <t>Ändra endast</t>
    </r>
    <r>
      <rPr>
        <b/>
        <sz val="11"/>
        <color rgb="FF0070C0"/>
        <rFont val="Calibri"/>
        <family val="2"/>
        <scheme val="minor"/>
      </rPr>
      <t xml:space="preserve"> blå</t>
    </r>
    <r>
      <rPr>
        <b/>
        <sz val="11"/>
        <color theme="1"/>
        <rFont val="Calibri"/>
        <family val="2"/>
        <scheme val="minor"/>
      </rPr>
      <t xml:space="preserve"> siffror i ram</t>
    </r>
  </si>
  <si>
    <t>även privat konsumtion av företagets produkter eller resurser</t>
  </si>
  <si>
    <t>Gjord av: Daniel Englund, projektledare Ekonomilaboratoriet ÖSP</t>
  </si>
  <si>
    <r>
      <rPr>
        <b/>
        <sz val="11"/>
        <color theme="1"/>
        <rFont val="Calibri"/>
        <family val="2"/>
        <scheme val="minor"/>
      </rPr>
      <t>Obs!</t>
    </r>
    <r>
      <rPr>
        <sz val="11"/>
        <color theme="1"/>
        <rFont val="Calibri"/>
        <family val="2"/>
        <scheme val="minor"/>
      </rPr>
      <t xml:space="preserve"> Enligt Lukes modell används bruttointäkterna när man räknar ut nyckeltal medan det i andra sammanhang även används omsättning.</t>
    </r>
  </si>
  <si>
    <t>Vid planering; DRA INGA INGA LÖSA SIFFROR UR HATTEN utan tänk noga igenom om ni ändrar någon siffra så ni har en korrekt grund att göra beslut från.</t>
  </si>
  <si>
    <t>Räntekrav enligt Luke medeltal ca 4 %</t>
  </si>
  <si>
    <t>Material och tjänster</t>
  </si>
  <si>
    <t>Material, förnödenheter och varor</t>
  </si>
  <si>
    <t>Inköp under räkenskapsperioden</t>
  </si>
  <si>
    <t>Lagerförändring</t>
  </si>
  <si>
    <t>Personalkostnader</t>
  </si>
  <si>
    <t xml:space="preserve">    Löner och arvoden </t>
  </si>
  <si>
    <t>Avskrivningar och nedskrivningar</t>
  </si>
  <si>
    <t xml:space="preserve">     Avskrivningar enligt plan</t>
  </si>
  <si>
    <t>Övriga rörelsekostnader</t>
  </si>
  <si>
    <t>Finansiella intäkter och kostnader</t>
  </si>
  <si>
    <t>Övriga ränteintäkter och finansiella intäkter</t>
  </si>
  <si>
    <t xml:space="preserve">    Räntekostnader och övr. finansiella kostnader</t>
  </si>
  <si>
    <t>VINST (FÖRLUST) FÖRE SKATTER</t>
  </si>
  <si>
    <t>Inkomstskatt</t>
  </si>
  <si>
    <t>RÄKENSKAPSPERIODENS VINST (FÖRLUST)</t>
  </si>
  <si>
    <t>BALANSRÄKNING</t>
  </si>
  <si>
    <t>A k t i v a</t>
  </si>
  <si>
    <t xml:space="preserve">    BESTÅENDE AKTIVA</t>
  </si>
  <si>
    <t xml:space="preserve">    Immateriella tillgångar</t>
  </si>
  <si>
    <t>Immateriella rättigheter</t>
  </si>
  <si>
    <t>Goodwill</t>
  </si>
  <si>
    <t xml:space="preserve">    Materiella tillgångar</t>
  </si>
  <si>
    <t>Mark- och vattenområden</t>
  </si>
  <si>
    <t>Byggnader</t>
  </si>
  <si>
    <t>Maskiner och inventarier</t>
  </si>
  <si>
    <t xml:space="preserve">    RÖRLIGA AKTIVA</t>
  </si>
  <si>
    <t xml:space="preserve">    Omsättningstillgångar</t>
  </si>
  <si>
    <t xml:space="preserve">        Färdiga produkter/Varor</t>
  </si>
  <si>
    <t xml:space="preserve">    Fordringar</t>
  </si>
  <si>
    <t xml:space="preserve">        Kortfristiga</t>
  </si>
  <si>
    <t xml:space="preserve">            Kundfordringar</t>
  </si>
  <si>
    <t xml:space="preserve">            Resultatregleringar</t>
  </si>
  <si>
    <t xml:space="preserve">     Kassa och bank</t>
  </si>
  <si>
    <t>Aktiva sammanlagt</t>
  </si>
  <si>
    <t>Passiva</t>
  </si>
  <si>
    <t xml:space="preserve">     EGET KAPITAL</t>
  </si>
  <si>
    <t xml:space="preserve">        Aktiekapital</t>
  </si>
  <si>
    <t xml:space="preserve">        Balanserad vinst (förlust) från tidigare räk.per.</t>
  </si>
  <si>
    <t xml:space="preserve">        Räkenskapsperiodens vinst (förlust)</t>
  </si>
  <si>
    <t xml:space="preserve">     FRÄMMANDE KAPITAL</t>
  </si>
  <si>
    <t xml:space="preserve">     Långfristigt</t>
  </si>
  <si>
    <t xml:space="preserve">        Skulder till kreditinstitut</t>
  </si>
  <si>
    <t xml:space="preserve">      Kortfristigt</t>
  </si>
  <si>
    <t xml:space="preserve">        Skulder till leverantörer</t>
  </si>
  <si>
    <t xml:space="preserve">        Resultatregleringar</t>
  </si>
  <si>
    <t>Passiva sammanlagt</t>
  </si>
  <si>
    <t>1.1-31.12.2020</t>
  </si>
  <si>
    <t>1.1-31.12.2019</t>
  </si>
  <si>
    <t>RESULTATRÄKNING enh. tDKK</t>
  </si>
  <si>
    <t>31.12.år 2020</t>
  </si>
  <si>
    <t>Övriga rörelseintäkter(försäljning av egend.)</t>
  </si>
  <si>
    <t>RÖRELSEVINST (-FÖRLUST) EBIT</t>
  </si>
  <si>
    <t>Tillväxt</t>
  </si>
  <si>
    <t>(omsättning t - omsättning t-1)/omsättning t-1</t>
  </si>
  <si>
    <t>Vinstmarginal</t>
  </si>
  <si>
    <t>Nettoresultat/omsättning</t>
  </si>
  <si>
    <t>Rörelsevinstmarginal</t>
  </si>
  <si>
    <t>Rörelseresultat/omsättning</t>
  </si>
  <si>
    <t>Driftsbidrag %</t>
  </si>
  <si>
    <t>EBITDA (Rörelseresultat före abskrivningar)omsättning</t>
  </si>
  <si>
    <t>ROE</t>
  </si>
  <si>
    <t>resultat/eget kapital</t>
  </si>
  <si>
    <t>ROA</t>
  </si>
  <si>
    <t>resultat/totalt kapital (kan också vara resultat före räntekostnader</t>
  </si>
  <si>
    <t>ROI</t>
  </si>
  <si>
    <t>resultat / räntebärande kapital (alltså eget kapital+räntebärande skulder)</t>
  </si>
  <si>
    <t>Kapitalomsättningshastighet, tot.tillgångar</t>
  </si>
  <si>
    <t>ggr</t>
  </si>
  <si>
    <t>Totalt kapital/omsättningen, åtminstone 1 gång</t>
  </si>
  <si>
    <t>Kundfordringarnas omloppstid</t>
  </si>
  <si>
    <t>Dagar</t>
  </si>
  <si>
    <t>Kundfordringarnas omloppstid borde vara på samma nivå från år till år ifall det inte är nåt lurt, indikation på om allt står rätt till, allt kan också stå rätt till t.ex. Vid ekonomisk kris när kiunderna inte kan betala direkt</t>
  </si>
  <si>
    <t>Leverantörsskuldernas omloppstid</t>
  </si>
  <si>
    <t>Kassalikviditet</t>
  </si>
  <si>
    <t>norm:1</t>
  </si>
  <si>
    <t>Finansieringstillgångar/kortfristiga skulder</t>
  </si>
  <si>
    <t>Balanslikviditet</t>
  </si>
  <si>
    <t>norm:2</t>
  </si>
  <si>
    <t>(Finansieringstillgångar+omsättningstillgångar)/kortfristiga skulder</t>
  </si>
  <si>
    <t>Soliditet</t>
  </si>
  <si>
    <t>EK/TK</t>
  </si>
  <si>
    <t>Skuldsättningsgrad (till totalt kapital)</t>
  </si>
  <si>
    <t>FK/TK</t>
  </si>
  <si>
    <t>Price to Earnings</t>
  </si>
  <si>
    <t xml:space="preserve">P/E-tal </t>
  </si>
  <si>
    <t>Antal aktier</t>
  </si>
  <si>
    <t>https://www.firstfarms.dk/fileadmin/AArsrapporter/Annual_report_2020.pdf</t>
  </si>
  <si>
    <t>Indata</t>
  </si>
  <si>
    <t>Omsättning aktuellt år</t>
  </si>
  <si>
    <t>Omsättning fjolår</t>
  </si>
  <si>
    <t>Nettoresultat</t>
  </si>
  <si>
    <t>(resultat efter skatt)</t>
  </si>
  <si>
    <t>Nettoresultat + skatt+ finansiella intäkter och kostnader</t>
  </si>
  <si>
    <t>Rörelsevinst EBIT</t>
  </si>
  <si>
    <t>Driftsbidrag EBITDA</t>
  </si>
  <si>
    <t>Rörelsevinst + avskrivningar</t>
  </si>
  <si>
    <t>Ekonomiska nyckeltal</t>
  </si>
  <si>
    <t>ROE (Return On Equity)</t>
  </si>
  <si>
    <t>ROA (Return On Assets)</t>
  </si>
  <si>
    <t>Totalt kapital/balansomslutning</t>
  </si>
  <si>
    <t>Räntebärande kapital</t>
  </si>
  <si>
    <t>Eget kapital + skulder som kräver ränta (Alltså inte t.ex. Leverantörsskulder)</t>
  </si>
  <si>
    <t>Totalt kapital/omsättningen</t>
  </si>
  <si>
    <t>Kundfordringar</t>
  </si>
  <si>
    <t>Försäljning</t>
  </si>
  <si>
    <t>Leverantörsskulder</t>
  </si>
  <si>
    <t>Inköp under perioden</t>
  </si>
  <si>
    <t>Omsättningstillgångar</t>
  </si>
  <si>
    <t>Kassa och bank</t>
  </si>
  <si>
    <t>Resultatregleringar</t>
  </si>
  <si>
    <t>Kortfristiga skulder</t>
  </si>
  <si>
    <t>Lager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</si>
</sst>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81D]_-;\-* #,##0.00\ [$€-81D]_-;_-* &quot;-&quot;??\ [$€-81D]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b/>
      <sz val="18"/>
      <color theme="1"/>
      <name val="Calibri"/>
      <family val="2"/>
      <scheme val="minor"/>
    </font>
    <font>
      <u/>
      <sz val="11"/>
      <color theme="10"/>
      <name val="Calibri"/>
      <family val="2"/>
      <scheme val="minor"/>
    </font>
    <font>
      <b/>
      <sz val="14"/>
      <color theme="1"/>
      <name val="Calibri"/>
      <family val="2"/>
      <scheme val="minor"/>
    </font>
    <font>
      <b/>
      <sz val="20"/>
      <name val="Times New Roman"/>
      <family val="1"/>
    </font>
    <font>
      <sz val="20"/>
      <name val="Times New Roman"/>
      <family val="1"/>
    </font>
    <font>
      <sz val="18"/>
      <color theme="1"/>
      <name val="Calibri"/>
      <family val="2"/>
      <scheme val="minor"/>
    </font>
    <font>
      <sz val="20"/>
      <color theme="1"/>
      <name val="Calibri"/>
      <family val="2"/>
      <scheme val="minor"/>
    </font>
    <font>
      <sz val="10"/>
      <name val="Arial"/>
      <family val="2"/>
    </font>
    <font>
      <b/>
      <sz val="11"/>
      <name val="Calibri"/>
      <family val="2"/>
      <scheme val="minor"/>
    </font>
    <font>
      <sz val="8"/>
      <name val="Calibri"/>
      <family val="2"/>
      <scheme val="minor"/>
    </font>
    <font>
      <sz val="20"/>
      <name val="Calibri"/>
      <family val="2"/>
      <scheme val="minor"/>
    </font>
    <font>
      <b/>
      <sz val="20"/>
      <name val="Calibri"/>
      <family val="2"/>
      <scheme val="minor"/>
    </font>
    <font>
      <sz val="20"/>
      <color rgb="FF282823"/>
      <name val="Segoe UI"/>
      <family val="2"/>
    </font>
    <font>
      <sz val="24"/>
      <color theme="1"/>
      <name val="Calibri"/>
      <family val="2"/>
      <scheme val="minor"/>
    </font>
    <font>
      <u/>
      <sz val="22"/>
      <color theme="1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2" fillId="0" borderId="0"/>
  </cellStyleXfs>
  <cellXfs count="82">
    <xf numFmtId="0" fontId="0" fillId="0" borderId="0" xfId="0"/>
    <xf numFmtId="0" fontId="2" fillId="0" borderId="0" xfId="0" applyFont="1"/>
    <xf numFmtId="0" fontId="0" fillId="0" borderId="1" xfId="0" applyBorder="1"/>
    <xf numFmtId="9" fontId="0" fillId="0" borderId="0" xfId="2" applyFont="1"/>
    <xf numFmtId="9" fontId="2" fillId="0" borderId="0" xfId="2" applyFont="1"/>
    <xf numFmtId="164" fontId="0" fillId="0" borderId="1" xfId="0" applyNumberFormat="1" applyBorder="1"/>
    <xf numFmtId="164" fontId="2" fillId="0" borderId="0" xfId="0" applyNumberFormat="1" applyFont="1"/>
    <xf numFmtId="3" fontId="0" fillId="0" borderId="1" xfId="0" applyNumberFormat="1" applyBorder="1"/>
    <xf numFmtId="44" fontId="0" fillId="0" borderId="1" xfId="1" applyFont="1" applyBorder="1"/>
    <xf numFmtId="0" fontId="2"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9" fontId="3" fillId="0" borderId="7" xfId="2" applyFont="1" applyBorder="1"/>
    <xf numFmtId="3" fontId="0" fillId="0" borderId="8" xfId="0" applyNumberFormat="1" applyBorder="1"/>
    <xf numFmtId="3" fontId="0" fillId="0" borderId="5" xfId="0" applyNumberFormat="1" applyBorder="1"/>
    <xf numFmtId="2" fontId="2" fillId="0" borderId="0" xfId="0" applyNumberFormat="1" applyFont="1"/>
    <xf numFmtId="0" fontId="5" fillId="0" borderId="0" xfId="0" applyFont="1"/>
    <xf numFmtId="0" fontId="6" fillId="0" borderId="0" xfId="3"/>
    <xf numFmtId="0" fontId="7" fillId="0" borderId="0" xfId="3" applyFont="1"/>
    <xf numFmtId="164" fontId="3" fillId="0" borderId="12" xfId="0" applyNumberFormat="1" applyFont="1" applyBorder="1"/>
    <xf numFmtId="164" fontId="3" fillId="0" borderId="13" xfId="0" applyNumberFormat="1" applyFont="1" applyBorder="1"/>
    <xf numFmtId="164" fontId="3" fillId="0" borderId="14" xfId="0" applyNumberFormat="1" applyFont="1" applyBorder="1"/>
    <xf numFmtId="44" fontId="3" fillId="0" borderId="11" xfId="1" applyFont="1" applyBorder="1"/>
    <xf numFmtId="44" fontId="3" fillId="0" borderId="12" xfId="1" applyFont="1" applyBorder="1"/>
    <xf numFmtId="44" fontId="3" fillId="0" borderId="13" xfId="1" applyFont="1" applyBorder="1"/>
    <xf numFmtId="0" fontId="3" fillId="0" borderId="11" xfId="0" applyFont="1" applyBorder="1"/>
    <xf numFmtId="0" fontId="3" fillId="0" borderId="12" xfId="0" applyFont="1" applyBorder="1"/>
    <xf numFmtId="3" fontId="3" fillId="0" borderId="12" xfId="0" applyNumberFormat="1" applyFont="1" applyBorder="1"/>
    <xf numFmtId="3" fontId="3" fillId="0" borderId="13" xfId="0" applyNumberFormat="1" applyFont="1" applyBorder="1"/>
    <xf numFmtId="0" fontId="2" fillId="0" borderId="11" xfId="0" applyFont="1" applyBorder="1"/>
    <xf numFmtId="10" fontId="2" fillId="0" borderId="0" xfId="2" applyNumberFormat="1" applyFont="1"/>
    <xf numFmtId="0" fontId="8" fillId="2" borderId="0" xfId="0" applyFont="1" applyFill="1"/>
    <xf numFmtId="0" fontId="8" fillId="3" borderId="0" xfId="0" applyFont="1" applyFill="1"/>
    <xf numFmtId="0" fontId="9" fillId="3" borderId="0" xfId="0" applyFont="1" applyFill="1"/>
    <xf numFmtId="4" fontId="8" fillId="3" borderId="0" xfId="0" applyNumberFormat="1" applyFont="1" applyFill="1"/>
    <xf numFmtId="2" fontId="8" fillId="3" borderId="0" xfId="0" applyNumberFormat="1" applyFont="1" applyFill="1"/>
    <xf numFmtId="0" fontId="9" fillId="3" borderId="0" xfId="0" applyFont="1" applyFill="1" applyAlignment="1">
      <alignment horizontal="left" indent="2"/>
    </xf>
    <xf numFmtId="4" fontId="8" fillId="3" borderId="1" xfId="0" applyNumberFormat="1" applyFont="1" applyFill="1" applyBorder="1"/>
    <xf numFmtId="0" fontId="9" fillId="3" borderId="0" xfId="0" applyFont="1" applyFill="1" applyAlignment="1">
      <alignment horizontal="left" indent="3"/>
    </xf>
    <xf numFmtId="4" fontId="8" fillId="3" borderId="15" xfId="0" applyNumberFormat="1" applyFont="1" applyFill="1" applyBorder="1"/>
    <xf numFmtId="0" fontId="8" fillId="3" borderId="0" xfId="0" applyFont="1" applyFill="1" applyAlignment="1">
      <alignment horizontal="center"/>
    </xf>
    <xf numFmtId="0" fontId="9" fillId="3" borderId="0" xfId="0" applyFont="1" applyFill="1" applyAlignment="1">
      <alignment horizontal="left" indent="4"/>
    </xf>
    <xf numFmtId="0" fontId="8" fillId="3" borderId="16" xfId="0" applyFont="1" applyFill="1" applyBorder="1"/>
    <xf numFmtId="3" fontId="8" fillId="3" borderId="0" xfId="0" applyNumberFormat="1" applyFont="1" applyFill="1"/>
    <xf numFmtId="3" fontId="8" fillId="3" borderId="1" xfId="0" applyNumberFormat="1" applyFont="1" applyFill="1" applyBorder="1"/>
    <xf numFmtId="1" fontId="8" fillId="3" borderId="0" xfId="0" applyNumberFormat="1" applyFont="1" applyFill="1"/>
    <xf numFmtId="1" fontId="8" fillId="3" borderId="1" xfId="0" applyNumberFormat="1" applyFont="1" applyFill="1" applyBorder="1"/>
    <xf numFmtId="3" fontId="8" fillId="3" borderId="15" xfId="0" applyNumberFormat="1" applyFont="1" applyFill="1" applyBorder="1"/>
    <xf numFmtId="3" fontId="11" fillId="0" borderId="0" xfId="0" applyNumberFormat="1" applyFont="1"/>
    <xf numFmtId="0" fontId="10" fillId="0" borderId="0" xfId="0" applyFont="1"/>
    <xf numFmtId="0" fontId="11" fillId="0" borderId="0" xfId="0" applyFont="1"/>
    <xf numFmtId="0" fontId="1" fillId="3" borderId="0" xfId="0" applyFont="1" applyFill="1"/>
    <xf numFmtId="10" fontId="13" fillId="3" borderId="0" xfId="2" applyNumberFormat="1" applyFont="1" applyFill="1" applyBorder="1" applyAlignment="1">
      <alignment horizontal="center" vertical="center"/>
    </xf>
    <xf numFmtId="4" fontId="15" fillId="3" borderId="17" xfId="4" applyNumberFormat="1" applyFont="1" applyFill="1" applyBorder="1" applyAlignment="1">
      <alignment vertical="center"/>
    </xf>
    <xf numFmtId="4" fontId="15" fillId="3" borderId="18" xfId="4" applyNumberFormat="1" applyFont="1" applyFill="1" applyBorder="1" applyAlignment="1">
      <alignment vertical="center"/>
    </xf>
    <xf numFmtId="4" fontId="16" fillId="3" borderId="18" xfId="4" applyNumberFormat="1" applyFont="1" applyFill="1" applyBorder="1" applyAlignment="1">
      <alignment vertical="center"/>
    </xf>
    <xf numFmtId="0" fontId="11" fillId="3" borderId="0" xfId="0" applyFont="1" applyFill="1"/>
    <xf numFmtId="10" fontId="11" fillId="3" borderId="0" xfId="0" applyNumberFormat="1" applyFont="1" applyFill="1"/>
    <xf numFmtId="0" fontId="17" fillId="0" borderId="0" xfId="0" applyFont="1"/>
    <xf numFmtId="0" fontId="18" fillId="0" borderId="0" xfId="0" applyFont="1"/>
    <xf numFmtId="0" fontId="19" fillId="0" borderId="0" xfId="3" applyFont="1"/>
    <xf numFmtId="10" fontId="16" fillId="3" borderId="17" xfId="2" applyNumberFormat="1" applyFont="1" applyFill="1" applyBorder="1" applyAlignment="1">
      <alignment horizontal="center" vertical="center"/>
    </xf>
    <xf numFmtId="10" fontId="16" fillId="3" borderId="18" xfId="2" applyNumberFormat="1" applyFont="1" applyFill="1" applyBorder="1" applyAlignment="1">
      <alignment horizontal="center" vertical="center"/>
    </xf>
    <xf numFmtId="10" fontId="16" fillId="3" borderId="19" xfId="2" applyNumberFormat="1" applyFont="1" applyFill="1" applyBorder="1" applyAlignment="1">
      <alignment horizontal="center" vertical="center"/>
    </xf>
    <xf numFmtId="2" fontId="16" fillId="3" borderId="17" xfId="2" applyNumberFormat="1" applyFont="1" applyFill="1" applyBorder="1" applyAlignment="1">
      <alignment horizontal="center" vertical="center"/>
    </xf>
    <xf numFmtId="2" fontId="16" fillId="3" borderId="18" xfId="2" applyNumberFormat="1" applyFont="1" applyFill="1" applyBorder="1" applyAlignment="1">
      <alignment horizontal="center" vertical="center"/>
    </xf>
    <xf numFmtId="2" fontId="16" fillId="3" borderId="19" xfId="2" applyNumberFormat="1" applyFont="1" applyFill="1" applyBorder="1" applyAlignment="1">
      <alignment horizontal="center" vertical="center"/>
    </xf>
    <xf numFmtId="0" fontId="20" fillId="0" borderId="0" xfId="0" applyFont="1"/>
    <xf numFmtId="0" fontId="0" fillId="0" borderId="0" xfId="0" quotePrefix="1"/>
    <xf numFmtId="2" fontId="0" fillId="0" borderId="0" xfId="0" applyNumberFormat="1"/>
    <xf numFmtId="0" fontId="8" fillId="2" borderId="0" xfId="0" applyFont="1" applyFill="1" applyAlignment="1">
      <alignment horizontal="center"/>
    </xf>
    <xf numFmtId="10" fontId="16" fillId="3" borderId="17" xfId="2" applyNumberFormat="1" applyFont="1" applyFill="1" applyBorder="1" applyAlignment="1">
      <alignment horizontal="center" vertical="center"/>
    </xf>
    <xf numFmtId="10" fontId="16" fillId="3" borderId="18" xfId="2" applyNumberFormat="1" applyFont="1" applyFill="1" applyBorder="1" applyAlignment="1">
      <alignment horizontal="center" vertical="center"/>
    </xf>
    <xf numFmtId="10" fontId="16" fillId="3" borderId="19" xfId="2" applyNumberFormat="1" applyFont="1" applyFill="1" applyBorder="1" applyAlignment="1">
      <alignment horizontal="center" vertical="center"/>
    </xf>
    <xf numFmtId="2" fontId="16" fillId="3" borderId="17" xfId="2" applyNumberFormat="1" applyFont="1" applyFill="1" applyBorder="1" applyAlignment="1">
      <alignment horizontal="center" vertical="center"/>
    </xf>
    <xf numFmtId="2" fontId="16" fillId="3" borderId="18" xfId="2" applyNumberFormat="1" applyFont="1" applyFill="1" applyBorder="1" applyAlignment="1">
      <alignment horizontal="center" vertical="center"/>
    </xf>
    <xf numFmtId="2" fontId="16" fillId="3" borderId="19" xfId="2" applyNumberFormat="1" applyFont="1" applyFill="1" applyBorder="1" applyAlignment="1">
      <alignment horizontal="center" vertical="center"/>
    </xf>
  </cellXfs>
  <cellStyles count="5">
    <cellStyle name="Currency" xfId="1" builtinId="4"/>
    <cellStyle name="Hyperlink" xfId="3" builtinId="8"/>
    <cellStyle name="Normal" xfId="0" builtinId="0"/>
    <cellStyle name="Normal 2" xfId="4" xr:uid="{08EF371D-8D06-49E1-9EB3-B41C4D53AFCE}"/>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1095374</xdr:colOff>
      <xdr:row>1</xdr:row>
      <xdr:rowOff>0</xdr:rowOff>
    </xdr:from>
    <xdr:to>
      <xdr:col>1</xdr:col>
      <xdr:colOff>392111</xdr:colOff>
      <xdr:row>4</xdr:row>
      <xdr:rowOff>19050</xdr:rowOff>
    </xdr:to>
    <xdr:pic>
      <xdr:nvPicPr>
        <xdr:cNvPr id="3" name="Bildobjekt 2">
          <a:extLst>
            <a:ext uri="{FF2B5EF4-FFF2-40B4-BE49-F238E27FC236}">
              <a16:creationId xmlns:a16="http://schemas.microsoft.com/office/drawing/2014/main" id="{C4E8C3E6-A7FF-4A93-A794-62C6D7697F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5374" y="190500"/>
          <a:ext cx="2017712" cy="590550"/>
        </a:xfrm>
        <a:prstGeom prst="rect">
          <a:avLst/>
        </a:prstGeom>
      </xdr:spPr>
    </xdr:pic>
    <xdr:clientData/>
  </xdr:twoCellAnchor>
  <xdr:twoCellAnchor editAs="oneCell">
    <xdr:from>
      <xdr:col>1</xdr:col>
      <xdr:colOff>350021</xdr:colOff>
      <xdr:row>1</xdr:row>
      <xdr:rowOff>15696</xdr:rowOff>
    </xdr:from>
    <xdr:to>
      <xdr:col>4</xdr:col>
      <xdr:colOff>483635</xdr:colOff>
      <xdr:row>3</xdr:row>
      <xdr:rowOff>171450</xdr:rowOff>
    </xdr:to>
    <xdr:pic>
      <xdr:nvPicPr>
        <xdr:cNvPr id="5" name="Bildobjekt 4">
          <a:extLst>
            <a:ext uri="{FF2B5EF4-FFF2-40B4-BE49-F238E27FC236}">
              <a16:creationId xmlns:a16="http://schemas.microsoft.com/office/drawing/2014/main" id="{9950159B-6739-4301-AC37-1FDF322A53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74171" y="206196"/>
          <a:ext cx="3426089" cy="536754"/>
        </a:xfrm>
        <a:prstGeom prst="rect">
          <a:avLst/>
        </a:prstGeom>
      </xdr:spPr>
    </xdr:pic>
    <xdr:clientData/>
  </xdr:twoCellAnchor>
  <xdr:twoCellAnchor editAs="oneCell">
    <xdr:from>
      <xdr:col>0</xdr:col>
      <xdr:colOff>1</xdr:colOff>
      <xdr:row>1</xdr:row>
      <xdr:rowOff>0</xdr:rowOff>
    </xdr:from>
    <xdr:to>
      <xdr:col>0</xdr:col>
      <xdr:colOff>1031407</xdr:colOff>
      <xdr:row>4</xdr:row>
      <xdr:rowOff>6350</xdr:rowOff>
    </xdr:to>
    <xdr:pic>
      <xdr:nvPicPr>
        <xdr:cNvPr id="7" name="Bildobjekt 6">
          <a:extLst>
            <a:ext uri="{FF2B5EF4-FFF2-40B4-BE49-F238E27FC236}">
              <a16:creationId xmlns:a16="http://schemas.microsoft.com/office/drawing/2014/main" id="{FD50D2CD-8D2B-4748-A740-9623F1EA82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190500"/>
          <a:ext cx="1031406"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552450</xdr:colOff>
      <xdr:row>1</xdr:row>
      <xdr:rowOff>95249</xdr:rowOff>
    </xdr:from>
    <xdr:to>
      <xdr:col>26</xdr:col>
      <xdr:colOff>238124</xdr:colOff>
      <xdr:row>23</xdr:row>
      <xdr:rowOff>69283</xdr:rowOff>
    </xdr:to>
    <xdr:pic>
      <xdr:nvPicPr>
        <xdr:cNvPr id="2" name="Bildobjekt 1">
          <a:extLst>
            <a:ext uri="{FF2B5EF4-FFF2-40B4-BE49-F238E27FC236}">
              <a16:creationId xmlns:a16="http://schemas.microsoft.com/office/drawing/2014/main" id="{071D184E-F0F6-4D45-A3C6-7F54621DCF51}"/>
            </a:ext>
          </a:extLst>
        </xdr:cNvPr>
        <xdr:cNvPicPr>
          <a:picLocks noChangeAspect="1"/>
        </xdr:cNvPicPr>
      </xdr:nvPicPr>
      <xdr:blipFill>
        <a:blip xmlns:r="http://schemas.openxmlformats.org/officeDocument/2006/relationships" r:embed="rId1"/>
        <a:stretch>
          <a:fillRect/>
        </a:stretch>
      </xdr:blipFill>
      <xdr:spPr>
        <a:xfrm>
          <a:off x="10768013" y="285749"/>
          <a:ext cx="11449049" cy="7165409"/>
        </a:xfrm>
        <a:prstGeom prst="rect">
          <a:avLst/>
        </a:prstGeom>
      </xdr:spPr>
    </xdr:pic>
    <xdr:clientData/>
  </xdr:twoCellAnchor>
  <xdr:twoCellAnchor editAs="oneCell">
    <xdr:from>
      <xdr:col>7</xdr:col>
      <xdr:colOff>371330</xdr:colOff>
      <xdr:row>23</xdr:row>
      <xdr:rowOff>68262</xdr:rowOff>
    </xdr:from>
    <xdr:to>
      <xdr:col>26</xdr:col>
      <xdr:colOff>258616</xdr:colOff>
      <xdr:row>69</xdr:row>
      <xdr:rowOff>9171</xdr:rowOff>
    </xdr:to>
    <xdr:pic>
      <xdr:nvPicPr>
        <xdr:cNvPr id="3" name="Bildobjekt 2">
          <a:extLst>
            <a:ext uri="{FF2B5EF4-FFF2-40B4-BE49-F238E27FC236}">
              <a16:creationId xmlns:a16="http://schemas.microsoft.com/office/drawing/2014/main" id="{3892F5D9-3620-40CC-A4EC-37163D416F3F}"/>
            </a:ext>
          </a:extLst>
        </xdr:cNvPr>
        <xdr:cNvPicPr>
          <a:picLocks noChangeAspect="1"/>
        </xdr:cNvPicPr>
      </xdr:nvPicPr>
      <xdr:blipFill>
        <a:blip xmlns:r="http://schemas.openxmlformats.org/officeDocument/2006/relationships" r:embed="rId2"/>
        <a:stretch>
          <a:fillRect/>
        </a:stretch>
      </xdr:blipFill>
      <xdr:spPr>
        <a:xfrm>
          <a:off x="14156603" y="7272626"/>
          <a:ext cx="11403877" cy="13154681"/>
        </a:xfrm>
        <a:prstGeom prst="rect">
          <a:avLst/>
        </a:prstGeom>
      </xdr:spPr>
    </xdr:pic>
    <xdr:clientData/>
  </xdr:twoCellAnchor>
  <xdr:twoCellAnchor editAs="oneCell">
    <xdr:from>
      <xdr:col>26</xdr:col>
      <xdr:colOff>554903</xdr:colOff>
      <xdr:row>6</xdr:row>
      <xdr:rowOff>239091</xdr:rowOff>
    </xdr:from>
    <xdr:to>
      <xdr:col>45</xdr:col>
      <xdr:colOff>147204</xdr:colOff>
      <xdr:row>39</xdr:row>
      <xdr:rowOff>49077</xdr:rowOff>
    </xdr:to>
    <xdr:pic>
      <xdr:nvPicPr>
        <xdr:cNvPr id="4" name="Bildobjekt 3">
          <a:extLst>
            <a:ext uri="{FF2B5EF4-FFF2-40B4-BE49-F238E27FC236}">
              <a16:creationId xmlns:a16="http://schemas.microsoft.com/office/drawing/2014/main" id="{C831F489-E945-4157-B547-93B4C0062BDD}"/>
            </a:ext>
          </a:extLst>
        </xdr:cNvPr>
        <xdr:cNvPicPr>
          <a:picLocks noChangeAspect="1"/>
        </xdr:cNvPicPr>
      </xdr:nvPicPr>
      <xdr:blipFill>
        <a:blip xmlns:r="http://schemas.openxmlformats.org/officeDocument/2006/relationships" r:embed="rId3"/>
        <a:stretch>
          <a:fillRect/>
        </a:stretch>
      </xdr:blipFill>
      <xdr:spPr>
        <a:xfrm>
          <a:off x="25856767" y="1867000"/>
          <a:ext cx="11108892" cy="10633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mtt.fi/portal/page/portal/ekonomidoktorn/lonsamhetsbokforing/egna_val/filer/Bilaga%202%20Ber%C3%A4kning%20och%20tolkning%20av%20nyckeltal_konto%C3%A5r%202019.pdf" TargetMode="External"/><Relationship Id="rId1" Type="http://schemas.openxmlformats.org/officeDocument/2006/relationships/hyperlink" Target="https://portal.mtt.fi/portal/page/portal/ekonomidoktorn/"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irstfarms.dk/fileadmin/AArsrapporter/Annual_report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AE6E6-CAF5-41E2-9345-B0FFA8975E4F}">
  <dimension ref="A6:P66"/>
  <sheetViews>
    <sheetView tabSelected="1" zoomScale="70" zoomScaleNormal="70" workbookViewId="0">
      <selection activeCell="E16" sqref="E16"/>
    </sheetView>
  </sheetViews>
  <sheetFormatPr defaultRowHeight="14.5" x14ac:dyDescent="0.35"/>
  <cols>
    <col min="1" max="1" width="40.81640625" customWidth="1"/>
    <col min="2" max="2" width="12.453125" bestFit="1" customWidth="1"/>
    <col min="3" max="3" width="27.81640625" customWidth="1"/>
  </cols>
  <sheetData>
    <row r="6" spans="1:5" ht="23.5" x14ac:dyDescent="0.55000000000000004">
      <c r="A6" s="21" t="s">
        <v>0</v>
      </c>
      <c r="B6" t="s">
        <v>52</v>
      </c>
    </row>
    <row r="7" spans="1:5" ht="16" customHeight="1" x14ac:dyDescent="0.55000000000000004">
      <c r="A7" s="21"/>
    </row>
    <row r="8" spans="1:5" ht="17.5" customHeight="1" x14ac:dyDescent="0.35">
      <c r="A8" t="s">
        <v>46</v>
      </c>
    </row>
    <row r="9" spans="1:5" x14ac:dyDescent="0.35">
      <c r="A9" s="22" t="s">
        <v>45</v>
      </c>
    </row>
    <row r="10" spans="1:5" ht="18.5" x14ac:dyDescent="0.45">
      <c r="A10" s="23" t="s">
        <v>48</v>
      </c>
      <c r="B10" t="s">
        <v>49</v>
      </c>
    </row>
    <row r="11" spans="1:5" x14ac:dyDescent="0.35">
      <c r="A11" s="22" t="s">
        <v>47</v>
      </c>
    </row>
    <row r="12" spans="1:5" ht="15" thickBot="1" x14ac:dyDescent="0.4"/>
    <row r="13" spans="1:5" ht="15" thickBot="1" x14ac:dyDescent="0.4">
      <c r="A13" s="34" t="s">
        <v>50</v>
      </c>
    </row>
    <row r="14" spans="1:5" ht="15" thickBot="1" x14ac:dyDescent="0.4">
      <c r="E14" t="s">
        <v>54</v>
      </c>
    </row>
    <row r="15" spans="1:5" x14ac:dyDescent="0.35">
      <c r="A15" t="s">
        <v>2</v>
      </c>
      <c r="B15" s="24">
        <v>60000</v>
      </c>
    </row>
    <row r="16" spans="1:5" ht="15" thickBot="1" x14ac:dyDescent="0.4">
      <c r="A16" s="2" t="s">
        <v>1</v>
      </c>
      <c r="B16" s="25">
        <v>50000</v>
      </c>
      <c r="C16" s="2"/>
      <c r="D16" s="3"/>
    </row>
    <row r="17" spans="1:16" x14ac:dyDescent="0.35">
      <c r="A17" s="1" t="s">
        <v>14</v>
      </c>
      <c r="C17" s="6">
        <f>B15+B16</f>
        <v>110000</v>
      </c>
      <c r="E17" t="s">
        <v>53</v>
      </c>
    </row>
    <row r="18" spans="1:16" ht="15" thickBot="1" x14ac:dyDescent="0.4"/>
    <row r="19" spans="1:16" x14ac:dyDescent="0.35">
      <c r="A19" t="s">
        <v>3</v>
      </c>
      <c r="B19" s="24">
        <v>7200</v>
      </c>
    </row>
    <row r="20" spans="1:16" x14ac:dyDescent="0.35">
      <c r="A20" t="s">
        <v>4</v>
      </c>
      <c r="B20" s="26">
        <v>0</v>
      </c>
    </row>
    <row r="21" spans="1:16" x14ac:dyDescent="0.35">
      <c r="A21" t="s">
        <v>5</v>
      </c>
      <c r="B21" s="26"/>
      <c r="C21" t="s">
        <v>51</v>
      </c>
    </row>
    <row r="22" spans="1:16" x14ac:dyDescent="0.35">
      <c r="A22" t="s">
        <v>6</v>
      </c>
      <c r="B22" s="26">
        <v>0</v>
      </c>
    </row>
    <row r="23" spans="1:16" x14ac:dyDescent="0.35">
      <c r="A23" t="s">
        <v>7</v>
      </c>
      <c r="B23" s="26">
        <v>0</v>
      </c>
      <c r="L23" s="1" t="s">
        <v>19</v>
      </c>
    </row>
    <row r="24" spans="1:16" ht="15" thickBot="1" x14ac:dyDescent="0.4">
      <c r="A24" s="2" t="s">
        <v>8</v>
      </c>
      <c r="B24" s="25">
        <v>0</v>
      </c>
      <c r="C24" s="2"/>
    </row>
    <row r="25" spans="1:16" ht="15" thickBot="1" x14ac:dyDescent="0.4">
      <c r="A25" s="1" t="s">
        <v>13</v>
      </c>
      <c r="C25" s="6">
        <f>C17+B19-B20+B21+B22+B23+B24</f>
        <v>117200</v>
      </c>
      <c r="L25" s="9" t="s">
        <v>11</v>
      </c>
      <c r="M25" s="10"/>
      <c r="N25" s="10"/>
      <c r="O25" s="10"/>
      <c r="P25" s="11"/>
    </row>
    <row r="26" spans="1:16" ht="15" thickBot="1" x14ac:dyDescent="0.4">
      <c r="L26" s="31">
        <v>1940</v>
      </c>
      <c r="M26" t="s">
        <v>21</v>
      </c>
      <c r="P26" s="13"/>
    </row>
    <row r="27" spans="1:16" ht="15" thickBot="1" x14ac:dyDescent="0.4">
      <c r="A27" t="s">
        <v>9</v>
      </c>
      <c r="B27" s="24">
        <v>40000</v>
      </c>
      <c r="L27" s="30">
        <v>16.7</v>
      </c>
      <c r="M27" s="2" t="s">
        <v>20</v>
      </c>
      <c r="P27" s="13"/>
    </row>
    <row r="28" spans="1:16" ht="15" thickBot="1" x14ac:dyDescent="0.4">
      <c r="A28" t="s">
        <v>10</v>
      </c>
      <c r="B28" s="25">
        <v>25000</v>
      </c>
      <c r="L28" s="12">
        <f>L26*L27</f>
        <v>32398</v>
      </c>
      <c r="M28" t="s">
        <v>22</v>
      </c>
      <c r="P28" s="13"/>
    </row>
    <row r="29" spans="1:16" x14ac:dyDescent="0.35">
      <c r="A29" s="2" t="s">
        <v>11</v>
      </c>
      <c r="B29" s="5">
        <f>L28</f>
        <v>32398</v>
      </c>
      <c r="C29" s="2"/>
      <c r="L29" s="12"/>
      <c r="P29" s="13"/>
    </row>
    <row r="30" spans="1:16" ht="15" thickBot="1" x14ac:dyDescent="0.4">
      <c r="A30" s="1" t="s">
        <v>12</v>
      </c>
      <c r="C30" s="6">
        <f>C25-B27-B28-B29</f>
        <v>19802</v>
      </c>
      <c r="L30" s="14"/>
      <c r="M30" s="15"/>
      <c r="N30" s="15"/>
      <c r="O30" s="15"/>
      <c r="P30" s="16"/>
    </row>
    <row r="31" spans="1:16" ht="15" thickBot="1" x14ac:dyDescent="0.4"/>
    <row r="32" spans="1:16" ht="15" thickBot="1" x14ac:dyDescent="0.4">
      <c r="A32" s="1" t="s">
        <v>15</v>
      </c>
      <c r="C32" s="4">
        <f>C30/C25</f>
        <v>0.16895904436860068</v>
      </c>
      <c r="L32" s="9" t="s">
        <v>37</v>
      </c>
      <c r="M32" s="10"/>
      <c r="N32" s="10"/>
      <c r="O32" s="11"/>
    </row>
    <row r="33" spans="1:15" ht="15" thickBot="1" x14ac:dyDescent="0.4">
      <c r="L33" s="32">
        <v>100000</v>
      </c>
      <c r="M33" t="s">
        <v>33</v>
      </c>
      <c r="O33" s="13"/>
    </row>
    <row r="34" spans="1:15" ht="15" thickBot="1" x14ac:dyDescent="0.4">
      <c r="A34" s="2" t="s">
        <v>16</v>
      </c>
      <c r="B34" s="27">
        <v>15900</v>
      </c>
      <c r="C34" s="2"/>
      <c r="L34" s="33">
        <v>200000</v>
      </c>
      <c r="M34" t="s">
        <v>35</v>
      </c>
      <c r="O34" s="13"/>
    </row>
    <row r="35" spans="1:15" ht="15" thickBot="1" x14ac:dyDescent="0.4">
      <c r="A35" s="1" t="s">
        <v>17</v>
      </c>
      <c r="B35" s="1"/>
      <c r="C35" s="6">
        <f>C30-B34</f>
        <v>3902</v>
      </c>
      <c r="L35" s="18">
        <f>L33+L34</f>
        <v>300000</v>
      </c>
      <c r="M35" s="15" t="s">
        <v>36</v>
      </c>
      <c r="N35" s="15"/>
      <c r="O35" s="16"/>
    </row>
    <row r="36" spans="1:15" ht="15" thickBot="1" x14ac:dyDescent="0.4"/>
    <row r="37" spans="1:15" x14ac:dyDescent="0.35">
      <c r="A37" t="s">
        <v>18</v>
      </c>
      <c r="B37" s="28">
        <v>0</v>
      </c>
      <c r="L37" s="9" t="s">
        <v>26</v>
      </c>
      <c r="M37" s="10"/>
      <c r="N37" s="10"/>
      <c r="O37" s="11"/>
    </row>
    <row r="38" spans="1:15" ht="15" thickBot="1" x14ac:dyDescent="0.4">
      <c r="A38" s="2" t="s">
        <v>23</v>
      </c>
      <c r="B38" s="29">
        <v>3090</v>
      </c>
      <c r="C38" s="2"/>
      <c r="L38" s="12"/>
      <c r="O38" s="13"/>
    </row>
    <row r="39" spans="1:15" x14ac:dyDescent="0.35">
      <c r="A39" s="1" t="s">
        <v>24</v>
      </c>
      <c r="B39" s="1"/>
      <c r="C39" s="6">
        <f>C35+B37-B38</f>
        <v>812</v>
      </c>
      <c r="L39" s="19">
        <f>L34</f>
        <v>200000</v>
      </c>
      <c r="M39" t="s">
        <v>27</v>
      </c>
      <c r="O39" s="13"/>
    </row>
    <row r="40" spans="1:15" x14ac:dyDescent="0.35">
      <c r="L40" s="17">
        <v>0.04</v>
      </c>
      <c r="M40" s="2" t="s">
        <v>55</v>
      </c>
      <c r="O40" s="13"/>
    </row>
    <row r="41" spans="1:15" x14ac:dyDescent="0.35">
      <c r="A41" s="1" t="s">
        <v>25</v>
      </c>
      <c r="B41" s="1"/>
      <c r="C41" s="4">
        <f>C39/C25</f>
        <v>6.9283276450511945E-3</v>
      </c>
      <c r="D41" s="1"/>
      <c r="L41" s="12">
        <f>L40*L39</f>
        <v>8000</v>
      </c>
      <c r="O41" s="13"/>
    </row>
    <row r="42" spans="1:15" ht="15" thickBot="1" x14ac:dyDescent="0.4">
      <c r="L42" s="14"/>
      <c r="M42" s="15"/>
      <c r="N42" s="15"/>
      <c r="O42" s="16"/>
    </row>
    <row r="43" spans="1:15" x14ac:dyDescent="0.35">
      <c r="A43" s="2" t="s">
        <v>26</v>
      </c>
      <c r="B43" s="8">
        <f>L41</f>
        <v>8000</v>
      </c>
      <c r="C43" s="2"/>
    </row>
    <row r="44" spans="1:15" x14ac:dyDescent="0.35">
      <c r="A44" s="1" t="s">
        <v>28</v>
      </c>
      <c r="B44" s="1"/>
      <c r="C44" s="6">
        <f>C39-B43</f>
        <v>-7188</v>
      </c>
    </row>
    <row r="46" spans="1:15" x14ac:dyDescent="0.35">
      <c r="A46" s="2" t="s">
        <v>29</v>
      </c>
      <c r="B46" s="7">
        <f>L33+L39</f>
        <v>300000</v>
      </c>
      <c r="C46" s="2"/>
    </row>
    <row r="47" spans="1:15" x14ac:dyDescent="0.35">
      <c r="A47" s="1" t="s">
        <v>30</v>
      </c>
      <c r="B47" s="1"/>
      <c r="C47" s="4">
        <f>L39/B46</f>
        <v>0.66666666666666663</v>
      </c>
    </row>
    <row r="49" spans="1:3" x14ac:dyDescent="0.35">
      <c r="A49" s="2" t="s">
        <v>32</v>
      </c>
      <c r="B49" s="7">
        <f>L33</f>
        <v>100000</v>
      </c>
      <c r="C49" s="2"/>
    </row>
    <row r="50" spans="1:3" x14ac:dyDescent="0.35">
      <c r="A50" s="1" t="s">
        <v>31</v>
      </c>
      <c r="B50" s="1"/>
      <c r="C50" s="4">
        <f>L33/C25</f>
        <v>0.85324232081911267</v>
      </c>
    </row>
    <row r="52" spans="1:3" x14ac:dyDescent="0.35">
      <c r="A52" s="1" t="s">
        <v>34</v>
      </c>
      <c r="B52" s="1"/>
      <c r="C52" s="6">
        <f>C39+B38</f>
        <v>3902</v>
      </c>
    </row>
    <row r="54" spans="1:3" x14ac:dyDescent="0.35">
      <c r="A54" s="1" t="s">
        <v>38</v>
      </c>
      <c r="C54" s="35">
        <f>C52/L35</f>
        <v>1.3006666666666666E-2</v>
      </c>
    </row>
    <row r="56" spans="1:3" x14ac:dyDescent="0.35">
      <c r="A56" s="1" t="s">
        <v>39</v>
      </c>
      <c r="C56" s="6">
        <f>C39+B29</f>
        <v>33210</v>
      </c>
    </row>
    <row r="58" spans="1:3" x14ac:dyDescent="0.35">
      <c r="A58" s="1" t="s">
        <v>40</v>
      </c>
      <c r="B58" s="1"/>
      <c r="C58" s="20">
        <f>C56/(B29+B43)</f>
        <v>0.82207039952472893</v>
      </c>
    </row>
    <row r="60" spans="1:3" x14ac:dyDescent="0.35">
      <c r="A60" s="1" t="s">
        <v>41</v>
      </c>
      <c r="B60" s="1"/>
      <c r="C60" s="6">
        <f>C56-B43</f>
        <v>25210</v>
      </c>
    </row>
    <row r="62" spans="1:3" x14ac:dyDescent="0.35">
      <c r="A62" s="1" t="s">
        <v>42</v>
      </c>
      <c r="C62" s="6">
        <f>C60/L26</f>
        <v>12.994845360824742</v>
      </c>
    </row>
    <row r="64" spans="1:3" x14ac:dyDescent="0.35">
      <c r="A64" s="1" t="s">
        <v>43</v>
      </c>
      <c r="B64" s="1"/>
      <c r="C64" s="6">
        <f>C56-B29</f>
        <v>812</v>
      </c>
    </row>
    <row r="66" spans="1:3" x14ac:dyDescent="0.35">
      <c r="A66" s="1" t="s">
        <v>44</v>
      </c>
      <c r="B66" s="1"/>
      <c r="C66" s="35">
        <f>C64/L34</f>
        <v>4.0600000000000002E-3</v>
      </c>
    </row>
  </sheetData>
  <hyperlinks>
    <hyperlink ref="A9" r:id="rId1" xr:uid="{07B6DA8C-33A3-47C1-9B75-51858104A4B5}"/>
    <hyperlink ref="A11" r:id="rId2" xr:uid="{A47F93C0-CEBA-475F-89A5-23C72304931A}"/>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47DED-B6B9-4506-A58A-B45B93E6976F}">
  <dimension ref="A5:Q24"/>
  <sheetViews>
    <sheetView topLeftCell="A4" zoomScale="130" zoomScaleNormal="130" workbookViewId="0">
      <selection activeCell="N20" sqref="N20"/>
    </sheetView>
  </sheetViews>
  <sheetFormatPr defaultRowHeight="14.5" x14ac:dyDescent="0.35"/>
  <cols>
    <col min="9" max="9" width="21.26953125" customWidth="1"/>
    <col min="14" max="14" width="12.7265625" bestFit="1" customWidth="1"/>
  </cols>
  <sheetData>
    <row r="5" spans="1:17" x14ac:dyDescent="0.35">
      <c r="A5" s="72" t="s">
        <v>143</v>
      </c>
      <c r="K5" s="1" t="s">
        <v>152</v>
      </c>
    </row>
    <row r="7" spans="1:17" x14ac:dyDescent="0.35">
      <c r="A7" t="s">
        <v>145</v>
      </c>
      <c r="C7">
        <v>100</v>
      </c>
      <c r="K7" t="s">
        <v>108</v>
      </c>
      <c r="N7" s="3">
        <f>(C8-C7)/C7</f>
        <v>0.01</v>
      </c>
      <c r="Q7" t="s">
        <v>109</v>
      </c>
    </row>
    <row r="8" spans="1:17" x14ac:dyDescent="0.35">
      <c r="A8" t="s">
        <v>144</v>
      </c>
      <c r="C8">
        <v>101</v>
      </c>
      <c r="K8" t="s">
        <v>110</v>
      </c>
      <c r="N8" s="3">
        <f>C9/C8</f>
        <v>9.9009900990099015E-2</v>
      </c>
      <c r="Q8" t="s">
        <v>111</v>
      </c>
    </row>
    <row r="9" spans="1:17" x14ac:dyDescent="0.35">
      <c r="A9" t="s">
        <v>146</v>
      </c>
      <c r="C9">
        <v>10</v>
      </c>
      <c r="D9" t="s">
        <v>147</v>
      </c>
      <c r="K9" t="s">
        <v>112</v>
      </c>
      <c r="N9" s="3">
        <f>C10/C8</f>
        <v>0.14851485148514851</v>
      </c>
      <c r="Q9" t="s">
        <v>113</v>
      </c>
    </row>
    <row r="10" spans="1:17" x14ac:dyDescent="0.35">
      <c r="A10" t="s">
        <v>149</v>
      </c>
      <c r="C10">
        <v>15</v>
      </c>
      <c r="D10" t="s">
        <v>148</v>
      </c>
      <c r="K10" t="s">
        <v>114</v>
      </c>
      <c r="N10" s="3">
        <f>C11/C8</f>
        <v>0.19801980198019803</v>
      </c>
      <c r="Q10" t="s">
        <v>115</v>
      </c>
    </row>
    <row r="11" spans="1:17" x14ac:dyDescent="0.35">
      <c r="A11" t="s">
        <v>150</v>
      </c>
      <c r="C11">
        <v>20</v>
      </c>
      <c r="D11" t="s">
        <v>151</v>
      </c>
      <c r="K11" t="s">
        <v>153</v>
      </c>
      <c r="N11" s="3">
        <f>C9/C12</f>
        <v>0.05</v>
      </c>
      <c r="Q11" t="s">
        <v>117</v>
      </c>
    </row>
    <row r="12" spans="1:17" x14ac:dyDescent="0.35">
      <c r="A12" t="s">
        <v>35</v>
      </c>
      <c r="C12">
        <v>200</v>
      </c>
      <c r="K12" t="s">
        <v>154</v>
      </c>
      <c r="N12" s="3">
        <f>C9/C13</f>
        <v>3.3333333333333333E-2</v>
      </c>
      <c r="Q12" t="s">
        <v>119</v>
      </c>
    </row>
    <row r="13" spans="1:17" x14ac:dyDescent="0.35">
      <c r="A13" s="73" t="s">
        <v>155</v>
      </c>
      <c r="C13">
        <v>300</v>
      </c>
      <c r="K13" t="s">
        <v>120</v>
      </c>
      <c r="N13" s="3">
        <f>C9/C14</f>
        <v>3.7037037037037035E-2</v>
      </c>
      <c r="Q13" t="s">
        <v>121</v>
      </c>
    </row>
    <row r="14" spans="1:17" x14ac:dyDescent="0.35">
      <c r="A14" t="s">
        <v>156</v>
      </c>
      <c r="C14">
        <v>270</v>
      </c>
      <c r="D14" t="s">
        <v>157</v>
      </c>
      <c r="K14" t="s">
        <v>122</v>
      </c>
      <c r="N14" s="74">
        <f>C7/C13</f>
        <v>0.33333333333333331</v>
      </c>
      <c r="P14" t="s">
        <v>123</v>
      </c>
      <c r="Q14" t="s">
        <v>158</v>
      </c>
    </row>
    <row r="15" spans="1:17" x14ac:dyDescent="0.35">
      <c r="A15" t="s">
        <v>159</v>
      </c>
      <c r="C15">
        <v>2</v>
      </c>
      <c r="K15" t="s">
        <v>125</v>
      </c>
      <c r="N15" s="74">
        <f>C15*365/C16</f>
        <v>9.125</v>
      </c>
      <c r="P15" t="s">
        <v>126</v>
      </c>
      <c r="Q15" t="s">
        <v>127</v>
      </c>
    </row>
    <row r="16" spans="1:17" x14ac:dyDescent="0.35">
      <c r="A16" t="s">
        <v>160</v>
      </c>
      <c r="C16">
        <v>80</v>
      </c>
      <c r="K16" t="s">
        <v>128</v>
      </c>
      <c r="N16" s="74">
        <f>C17*365/C18</f>
        <v>5.2142857142857144</v>
      </c>
      <c r="P16" t="s">
        <v>126</v>
      </c>
    </row>
    <row r="17" spans="1:17" x14ac:dyDescent="0.35">
      <c r="A17" t="s">
        <v>161</v>
      </c>
      <c r="C17">
        <v>1</v>
      </c>
      <c r="K17" t="s">
        <v>129</v>
      </c>
      <c r="N17">
        <f>(C20+C21)/C22</f>
        <v>2</v>
      </c>
      <c r="P17" t="s">
        <v>130</v>
      </c>
      <c r="Q17" t="s">
        <v>131</v>
      </c>
    </row>
    <row r="18" spans="1:17" x14ac:dyDescent="0.35">
      <c r="A18" t="s">
        <v>162</v>
      </c>
      <c r="C18">
        <v>70</v>
      </c>
      <c r="K18" t="s">
        <v>132</v>
      </c>
      <c r="N18">
        <f>(C20+C21+C23)/C22</f>
        <v>3</v>
      </c>
      <c r="P18" t="s">
        <v>133</v>
      </c>
      <c r="Q18" t="s">
        <v>134</v>
      </c>
    </row>
    <row r="19" spans="1:17" x14ac:dyDescent="0.35">
      <c r="A19" t="s">
        <v>163</v>
      </c>
      <c r="C19">
        <v>5</v>
      </c>
      <c r="K19" t="s">
        <v>135</v>
      </c>
      <c r="N19" s="3">
        <f>C12/C13</f>
        <v>0.66666666666666663</v>
      </c>
      <c r="Q19" t="s">
        <v>136</v>
      </c>
    </row>
    <row r="20" spans="1:17" x14ac:dyDescent="0.35">
      <c r="A20" t="s">
        <v>164</v>
      </c>
      <c r="C20">
        <v>10</v>
      </c>
      <c r="K20" t="s">
        <v>137</v>
      </c>
      <c r="N20" s="3">
        <f>C24/C13</f>
        <v>0.33333333333333331</v>
      </c>
      <c r="Q20" t="s">
        <v>138</v>
      </c>
    </row>
    <row r="21" spans="1:17" x14ac:dyDescent="0.35">
      <c r="A21" t="s">
        <v>165</v>
      </c>
      <c r="C21">
        <v>10</v>
      </c>
    </row>
    <row r="22" spans="1:17" x14ac:dyDescent="0.35">
      <c r="A22" t="s">
        <v>166</v>
      </c>
      <c r="C22">
        <v>10</v>
      </c>
    </row>
    <row r="23" spans="1:17" x14ac:dyDescent="0.35">
      <c r="A23" t="s">
        <v>167</v>
      </c>
      <c r="C23">
        <v>10</v>
      </c>
    </row>
    <row r="24" spans="1:17" x14ac:dyDescent="0.35">
      <c r="A24" t="s">
        <v>33</v>
      </c>
      <c r="C24">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76A3F-E467-428A-84C0-F9073D255DF4}">
  <dimension ref="A2:BJ117"/>
  <sheetViews>
    <sheetView topLeftCell="A28" zoomScale="55" zoomScaleNormal="55" workbookViewId="0">
      <selection activeCell="AY9" sqref="AY9:BA9"/>
    </sheetView>
  </sheetViews>
  <sheetFormatPr defaultRowHeight="14.5" x14ac:dyDescent="0.35"/>
  <cols>
    <col min="1" max="1" width="74.81640625" style="1" customWidth="1"/>
    <col min="2" max="2" width="25.1796875" bestFit="1" customWidth="1"/>
    <col min="3" max="3" width="24.26953125" bestFit="1" customWidth="1"/>
    <col min="4" max="4" width="9.1796875" customWidth="1"/>
    <col min="5" max="5" width="25.1796875" bestFit="1" customWidth="1"/>
    <col min="6" max="6" width="29.81640625" bestFit="1" customWidth="1"/>
    <col min="47" max="47" width="17" customWidth="1"/>
    <col min="48" max="48" width="51.54296875" customWidth="1"/>
    <col min="50" max="50" width="25.1796875" bestFit="1" customWidth="1"/>
    <col min="51" max="51" width="23" bestFit="1" customWidth="1"/>
    <col min="54" max="54" width="25.1796875" bestFit="1" customWidth="1"/>
  </cols>
  <sheetData>
    <row r="2" spans="1:62" ht="26" x14ac:dyDescent="0.6">
      <c r="B2" s="53">
        <f>C11+C13</f>
        <v>0</v>
      </c>
    </row>
    <row r="4" spans="1:62" ht="25" x14ac:dyDescent="0.5">
      <c r="A4" s="36" t="s">
        <v>104</v>
      </c>
      <c r="B4" s="36"/>
      <c r="C4" s="36" t="s">
        <v>102</v>
      </c>
      <c r="E4" s="36"/>
      <c r="F4" s="36" t="s">
        <v>103</v>
      </c>
      <c r="P4">
        <v>2020</v>
      </c>
      <c r="Q4">
        <v>2019</v>
      </c>
    </row>
    <row r="5" spans="1:62" ht="25" x14ac:dyDescent="0.5">
      <c r="A5" s="37" t="s">
        <v>14</v>
      </c>
      <c r="B5" s="37"/>
      <c r="C5" s="48"/>
      <c r="D5" s="40"/>
      <c r="E5" s="37"/>
      <c r="F5" s="48"/>
    </row>
    <row r="6" spans="1:62" ht="26" x14ac:dyDescent="0.6">
      <c r="A6" s="38" t="s">
        <v>106</v>
      </c>
      <c r="B6" s="37"/>
      <c r="C6" s="48"/>
      <c r="D6" s="40"/>
      <c r="E6" s="37"/>
      <c r="F6" s="48"/>
      <c r="AV6" s="58" t="s">
        <v>108</v>
      </c>
      <c r="AW6" s="59"/>
      <c r="AX6" s="60"/>
      <c r="AY6" s="76">
        <f>(312.616-328.072)/328.072</f>
        <v>-4.7111609646662979E-2</v>
      </c>
      <c r="AZ6" s="77"/>
      <c r="BA6" s="78"/>
      <c r="BB6" s="61"/>
      <c r="BC6" s="62" t="s">
        <v>109</v>
      </c>
      <c r="BD6" s="61"/>
      <c r="BE6" s="61"/>
      <c r="BF6" s="61"/>
      <c r="BG6" s="61"/>
      <c r="BH6" s="61"/>
      <c r="BI6" s="61"/>
      <c r="BJ6" s="61"/>
    </row>
    <row r="7" spans="1:62" ht="26" x14ac:dyDescent="0.6">
      <c r="A7" s="38" t="s">
        <v>1</v>
      </c>
      <c r="B7" s="37"/>
      <c r="C7" s="48"/>
      <c r="D7" s="40"/>
      <c r="E7" s="37"/>
      <c r="F7" s="48"/>
      <c r="AV7" s="58" t="s">
        <v>110</v>
      </c>
      <c r="AW7" s="59"/>
      <c r="AX7" s="60"/>
      <c r="AY7" s="76">
        <f>24794/312616</f>
        <v>7.9311359623307834E-2</v>
      </c>
      <c r="AZ7" s="77"/>
      <c r="BA7" s="78"/>
      <c r="BB7" s="61"/>
      <c r="BC7" s="62" t="s">
        <v>111</v>
      </c>
      <c r="BD7" s="61"/>
      <c r="BE7" s="61"/>
      <c r="BF7" s="61"/>
      <c r="BG7" s="61"/>
      <c r="BH7" s="61"/>
      <c r="BI7" s="61"/>
      <c r="BJ7" s="61"/>
    </row>
    <row r="8" spans="1:62" ht="26" x14ac:dyDescent="0.6">
      <c r="A8" s="37" t="s">
        <v>56</v>
      </c>
      <c r="B8" s="37"/>
      <c r="C8" s="48"/>
      <c r="D8" s="37"/>
      <c r="E8" s="37"/>
      <c r="F8" s="48"/>
      <c r="AV8" s="58" t="s">
        <v>112</v>
      </c>
      <c r="AW8" s="59"/>
      <c r="AX8" s="60"/>
      <c r="AY8" s="76">
        <f>54240/312616</f>
        <v>0.17350359546536326</v>
      </c>
      <c r="AZ8" s="77"/>
      <c r="BA8" s="78"/>
      <c r="BB8" s="61"/>
      <c r="BC8" s="62" t="s">
        <v>113</v>
      </c>
      <c r="BD8" s="61"/>
      <c r="BE8" s="61"/>
      <c r="BF8" s="61"/>
      <c r="BG8" s="61"/>
      <c r="BH8" s="61"/>
      <c r="BI8" s="61"/>
      <c r="BJ8" s="61"/>
    </row>
    <row r="9" spans="1:62" ht="26" x14ac:dyDescent="0.6">
      <c r="A9" s="37" t="s">
        <v>57</v>
      </c>
      <c r="B9" s="37"/>
      <c r="C9" s="48"/>
      <c r="D9" s="37"/>
      <c r="E9" s="37"/>
      <c r="F9" s="48"/>
      <c r="AV9" s="58" t="s">
        <v>114</v>
      </c>
      <c r="AW9" s="59"/>
      <c r="AX9" s="60"/>
      <c r="AY9" s="76">
        <f>(54240+45964)/312616</f>
        <v>0.32053381784681528</v>
      </c>
      <c r="AZ9" s="77"/>
      <c r="BA9" s="78"/>
      <c r="BB9" s="61"/>
      <c r="BC9" s="62" t="s">
        <v>115</v>
      </c>
      <c r="BD9" s="61"/>
      <c r="BE9" s="61"/>
      <c r="BF9" s="61"/>
      <c r="BG9" s="61"/>
      <c r="BH9" s="61"/>
      <c r="BI9" s="61"/>
      <c r="BJ9" s="61"/>
    </row>
    <row r="10" spans="1:62" ht="26" x14ac:dyDescent="0.6">
      <c r="A10" s="41" t="s">
        <v>58</v>
      </c>
      <c r="B10" s="50"/>
      <c r="C10" s="48"/>
      <c r="D10" s="37"/>
      <c r="E10" s="50"/>
      <c r="F10" s="48"/>
      <c r="AV10" s="58" t="s">
        <v>116</v>
      </c>
      <c r="AW10" s="59"/>
      <c r="AX10" s="60"/>
      <c r="AY10" s="76">
        <f>24794/483477</f>
        <v>5.1282687697656766E-2</v>
      </c>
      <c r="AZ10" s="77"/>
      <c r="BA10" s="78"/>
      <c r="BB10" s="61"/>
      <c r="BC10" s="62" t="s">
        <v>117</v>
      </c>
      <c r="BD10" s="61"/>
      <c r="BE10" s="61"/>
      <c r="BF10" s="61"/>
      <c r="BG10" s="61"/>
      <c r="BH10" s="61"/>
      <c r="BI10" s="61"/>
      <c r="BJ10" s="61"/>
    </row>
    <row r="11" spans="1:62" ht="26" x14ac:dyDescent="0.6">
      <c r="A11" s="41" t="s">
        <v>59</v>
      </c>
      <c r="B11" s="51"/>
      <c r="C11" s="48"/>
      <c r="D11" s="40"/>
      <c r="E11" s="51"/>
      <c r="F11" s="48"/>
      <c r="AV11" s="58" t="s">
        <v>118</v>
      </c>
      <c r="AW11" s="59"/>
      <c r="AX11" s="60"/>
      <c r="AY11" s="76">
        <f>24794/1141955</f>
        <v>2.1711888822239053E-2</v>
      </c>
      <c r="AZ11" s="77"/>
      <c r="BA11" s="78"/>
      <c r="BB11" s="61">
        <f>AY7*AY13</f>
        <v>2.1711888822239057E-2</v>
      </c>
      <c r="BC11" s="62" t="s">
        <v>119</v>
      </c>
      <c r="BD11" s="61"/>
      <c r="BE11" s="61"/>
      <c r="BF11" s="61"/>
      <c r="BG11" s="61"/>
      <c r="BH11" s="61"/>
      <c r="BI11" s="61"/>
      <c r="BJ11" s="61"/>
    </row>
    <row r="12" spans="1:62" ht="26" x14ac:dyDescent="0.6">
      <c r="A12" s="37" t="s">
        <v>60</v>
      </c>
      <c r="B12" s="37"/>
      <c r="C12" s="48"/>
      <c r="D12" s="37"/>
      <c r="E12" s="37"/>
      <c r="F12" s="48"/>
      <c r="AV12" s="58" t="s">
        <v>120</v>
      </c>
      <c r="AW12" s="59"/>
      <c r="AX12" s="60"/>
      <c r="AY12" s="76">
        <f>24794/(483477+70300)</f>
        <v>4.4772534792885947E-2</v>
      </c>
      <c r="AZ12" s="77"/>
      <c r="BA12" s="78"/>
      <c r="BB12" s="61"/>
      <c r="BC12" s="62" t="s">
        <v>121</v>
      </c>
      <c r="BD12" s="61"/>
      <c r="BE12" s="61"/>
      <c r="BF12" s="61"/>
      <c r="BG12" s="61"/>
      <c r="BH12" s="61"/>
      <c r="BI12" s="61"/>
      <c r="BJ12" s="61"/>
    </row>
    <row r="13" spans="1:62" ht="26" x14ac:dyDescent="0.6">
      <c r="A13" s="38" t="s">
        <v>61</v>
      </c>
      <c r="B13" s="55"/>
      <c r="C13" s="48"/>
      <c r="D13" s="40"/>
      <c r="F13" s="48"/>
      <c r="AV13" s="58" t="s">
        <v>122</v>
      </c>
      <c r="AW13" s="59"/>
      <c r="AX13" s="60"/>
      <c r="AY13" s="79">
        <f>312616/1141955</f>
        <v>0.27375509542845383</v>
      </c>
      <c r="AZ13" s="80"/>
      <c r="BA13" s="81"/>
      <c r="BB13" s="61" t="s">
        <v>123</v>
      </c>
      <c r="BC13" s="62" t="s">
        <v>124</v>
      </c>
      <c r="BD13" s="61"/>
      <c r="BE13" s="61"/>
      <c r="BF13" s="61"/>
      <c r="BG13" s="61"/>
      <c r="BH13" s="61"/>
      <c r="BI13" s="61"/>
      <c r="BJ13" s="61"/>
    </row>
    <row r="14" spans="1:62" ht="26" x14ac:dyDescent="0.6">
      <c r="A14" s="37" t="s">
        <v>62</v>
      </c>
      <c r="B14" s="37"/>
      <c r="C14" s="48"/>
      <c r="D14" s="37"/>
      <c r="E14" s="37"/>
      <c r="F14" s="48"/>
      <c r="AV14" s="58" t="s">
        <v>125</v>
      </c>
      <c r="AW14" s="59"/>
      <c r="AX14" s="60"/>
      <c r="AY14" s="79">
        <f>((18770+18125)*365)/312616</f>
        <v>43.077369680374645</v>
      </c>
      <c r="AZ14" s="80"/>
      <c r="BA14" s="81"/>
      <c r="BB14" s="62" t="s">
        <v>126</v>
      </c>
      <c r="BC14" s="61" t="s">
        <v>127</v>
      </c>
      <c r="BD14" s="61"/>
      <c r="BE14" s="61"/>
      <c r="BF14" s="61"/>
      <c r="BG14" s="61"/>
      <c r="BH14" s="61"/>
      <c r="BI14" s="61"/>
      <c r="BJ14" s="61"/>
    </row>
    <row r="15" spans="1:62" ht="26" x14ac:dyDescent="0.6">
      <c r="A15" s="38" t="s">
        <v>63</v>
      </c>
      <c r="B15" s="37"/>
      <c r="C15" s="48"/>
      <c r="D15" s="40"/>
      <c r="E15" s="50"/>
      <c r="F15" s="48"/>
      <c r="AV15" s="58" t="s">
        <v>128</v>
      </c>
      <c r="AW15" s="59"/>
      <c r="AX15" s="60"/>
      <c r="AY15" s="79">
        <f>70300*365/315792</f>
        <v>81.254433297866953</v>
      </c>
      <c r="AZ15" s="80"/>
      <c r="BA15" s="81"/>
      <c r="BB15" s="62" t="s">
        <v>126</v>
      </c>
      <c r="BC15" s="61"/>
      <c r="BD15" s="61"/>
      <c r="BE15" s="61"/>
      <c r="BF15" s="61"/>
      <c r="BG15" s="61"/>
      <c r="BH15" s="61"/>
      <c r="BI15" s="61"/>
      <c r="BJ15" s="61"/>
    </row>
    <row r="16" spans="1:62" ht="26" x14ac:dyDescent="0.6">
      <c r="A16" s="38" t="s">
        <v>64</v>
      </c>
      <c r="B16" s="37"/>
      <c r="C16" s="49"/>
      <c r="D16" s="40"/>
      <c r="E16" s="37"/>
      <c r="F16" s="49"/>
      <c r="AV16" s="58" t="s">
        <v>129</v>
      </c>
      <c r="AW16" s="59"/>
      <c r="AX16" s="60"/>
      <c r="AY16" s="69">
        <f>(187886-76404)/197344</f>
        <v>0.56491203178206584</v>
      </c>
      <c r="AZ16" s="70"/>
      <c r="BA16" s="71"/>
      <c r="BB16" s="62" t="s">
        <v>130</v>
      </c>
      <c r="BC16" s="61" t="s">
        <v>131</v>
      </c>
      <c r="BD16" s="61"/>
      <c r="BE16" s="61"/>
      <c r="BF16" s="61"/>
      <c r="BG16" s="61"/>
      <c r="BH16" s="61"/>
      <c r="BI16" s="61"/>
      <c r="BJ16" s="61"/>
    </row>
    <row r="17" spans="1:62" ht="26" x14ac:dyDescent="0.6">
      <c r="A17" s="37" t="s">
        <v>107</v>
      </c>
      <c r="B17" s="37"/>
      <c r="C17" s="48"/>
      <c r="D17" s="40"/>
      <c r="E17" s="37"/>
      <c r="F17" s="48"/>
      <c r="AU17" s="55"/>
      <c r="AV17" s="58" t="s">
        <v>132</v>
      </c>
      <c r="AW17" s="59"/>
      <c r="AX17" s="60"/>
      <c r="AY17" s="69">
        <f>187886/197344</f>
        <v>0.95207353656559102</v>
      </c>
      <c r="AZ17" s="70"/>
      <c r="BA17" s="71"/>
      <c r="BB17" s="62" t="s">
        <v>133</v>
      </c>
      <c r="BC17" s="61" t="s">
        <v>134</v>
      </c>
      <c r="BD17" s="61"/>
      <c r="BE17" s="61"/>
      <c r="BF17" s="61"/>
      <c r="BG17" s="61"/>
      <c r="BH17" s="61"/>
      <c r="BI17" s="61"/>
      <c r="BJ17" s="61"/>
    </row>
    <row r="18" spans="1:62" ht="26" x14ac:dyDescent="0.6">
      <c r="A18" s="37" t="s">
        <v>65</v>
      </c>
      <c r="B18" s="37"/>
      <c r="C18" s="39"/>
      <c r="D18" s="37"/>
      <c r="E18" s="37"/>
      <c r="F18" s="48"/>
      <c r="AV18" s="58" t="s">
        <v>135</v>
      </c>
      <c r="AW18" s="59"/>
      <c r="AX18" s="60"/>
      <c r="AY18" s="66">
        <f>483477/1141955</f>
        <v>0.42337657788616889</v>
      </c>
      <c r="AZ18" s="67"/>
      <c r="BA18" s="68"/>
      <c r="BB18" s="62"/>
      <c r="BC18" s="61" t="s">
        <v>136</v>
      </c>
      <c r="BD18" s="61"/>
      <c r="BE18" s="61"/>
      <c r="BF18" s="61"/>
      <c r="BG18" s="61"/>
      <c r="BH18" s="61"/>
      <c r="BI18" s="61"/>
      <c r="BJ18" s="61"/>
    </row>
    <row r="19" spans="1:62" ht="26" x14ac:dyDescent="0.6">
      <c r="A19" s="43" t="s">
        <v>66</v>
      </c>
      <c r="B19" s="37"/>
      <c r="C19" s="39"/>
      <c r="D19" s="37"/>
      <c r="E19" s="37"/>
      <c r="F19" s="48"/>
      <c r="AV19" s="58" t="s">
        <v>137</v>
      </c>
      <c r="AW19" s="59"/>
      <c r="AX19" s="60"/>
      <c r="AY19" s="66">
        <f>658478/1141955</f>
        <v>0.57662342211383111</v>
      </c>
      <c r="AZ19" s="67"/>
      <c r="BA19" s="68"/>
      <c r="BB19" s="62"/>
      <c r="BC19" s="61" t="s">
        <v>138</v>
      </c>
      <c r="BD19" s="61"/>
      <c r="BE19" s="61"/>
      <c r="BF19" s="61"/>
      <c r="BG19" s="61"/>
      <c r="BH19" s="61"/>
      <c r="BI19" s="61"/>
      <c r="BJ19" s="61"/>
    </row>
    <row r="20" spans="1:62" ht="26" x14ac:dyDescent="0.6">
      <c r="A20" s="38" t="s">
        <v>67</v>
      </c>
      <c r="B20" s="51"/>
      <c r="C20" s="49"/>
      <c r="D20" s="40"/>
      <c r="E20" s="51"/>
      <c r="F20" s="49"/>
      <c r="AV20" s="58" t="s">
        <v>140</v>
      </c>
      <c r="AW20" s="59"/>
      <c r="AX20" s="60"/>
      <c r="AY20" s="79"/>
      <c r="AZ20" s="80"/>
      <c r="BA20" s="81"/>
      <c r="BB20" s="62"/>
      <c r="BC20" s="61" t="s">
        <v>139</v>
      </c>
      <c r="BD20" s="61"/>
      <c r="BE20" s="61"/>
      <c r="BF20" s="61"/>
      <c r="BG20" s="61"/>
      <c r="BH20" s="61"/>
      <c r="BI20" s="61"/>
      <c r="BJ20" s="61"/>
    </row>
    <row r="21" spans="1:62" ht="25" x14ac:dyDescent="0.5">
      <c r="A21" s="37" t="s">
        <v>68</v>
      </c>
      <c r="B21" s="37"/>
      <c r="C21" s="48"/>
      <c r="D21" s="40"/>
      <c r="E21" s="37"/>
      <c r="F21" s="48"/>
    </row>
    <row r="22" spans="1:62" ht="25.5" x14ac:dyDescent="0.55000000000000004">
      <c r="A22" s="38" t="s">
        <v>69</v>
      </c>
      <c r="B22" s="37"/>
      <c r="C22" s="49"/>
      <c r="D22" s="40"/>
      <c r="E22" s="37"/>
      <c r="F22" s="49"/>
      <c r="AV22" s="56"/>
      <c r="AW22" s="56"/>
      <c r="AX22" s="56"/>
      <c r="AY22" s="56"/>
      <c r="AZ22" s="56"/>
      <c r="BA22" s="57"/>
      <c r="BB22" s="56"/>
      <c r="BC22" s="56"/>
      <c r="BD22" s="56"/>
      <c r="BE22" s="56"/>
      <c r="BF22" s="56"/>
      <c r="BG22" s="56"/>
      <c r="BH22" s="56"/>
      <c r="BI22" s="56"/>
      <c r="BJ22" s="56"/>
    </row>
    <row r="23" spans="1:62" ht="25.5" thickBot="1" x14ac:dyDescent="0.55000000000000004">
      <c r="A23" s="37" t="s">
        <v>70</v>
      </c>
      <c r="B23" s="37"/>
      <c r="C23" s="52"/>
      <c r="D23" s="40"/>
      <c r="E23" s="37"/>
      <c r="F23" s="52"/>
    </row>
    <row r="24" spans="1:62" ht="25.5" thickTop="1" x14ac:dyDescent="0.5">
      <c r="A24" s="37"/>
      <c r="B24" s="37"/>
      <c r="C24" s="39"/>
      <c r="D24" s="40"/>
      <c r="E24" s="37"/>
      <c r="F24" s="39"/>
    </row>
    <row r="25" spans="1:62" ht="29" x14ac:dyDescent="0.75">
      <c r="A25" s="36" t="s">
        <v>71</v>
      </c>
      <c r="B25" s="75" t="s">
        <v>105</v>
      </c>
      <c r="C25" s="75"/>
      <c r="D25" s="45"/>
      <c r="E25" s="75" t="s">
        <v>105</v>
      </c>
      <c r="F25" s="75"/>
      <c r="AV25" s="63">
        <v>7566642</v>
      </c>
      <c r="AW25" s="54" t="s">
        <v>141</v>
      </c>
    </row>
    <row r="26" spans="1:62" ht="25" x14ac:dyDescent="0.5">
      <c r="A26" s="37" t="s">
        <v>72</v>
      </c>
      <c r="B26" s="37"/>
      <c r="C26" s="39"/>
      <c r="D26" s="39"/>
      <c r="E26" s="37"/>
      <c r="F26" s="39"/>
    </row>
    <row r="27" spans="1:62" ht="25" x14ac:dyDescent="0.5">
      <c r="A27" s="37" t="s">
        <v>73</v>
      </c>
      <c r="B27" s="37"/>
      <c r="C27" s="39"/>
      <c r="D27" s="39"/>
      <c r="E27" s="37"/>
      <c r="F27" s="39"/>
    </row>
    <row r="28" spans="1:62" ht="25.5" x14ac:dyDescent="0.55000000000000004">
      <c r="A28" s="37" t="s">
        <v>74</v>
      </c>
      <c r="B28" s="37"/>
      <c r="C28" s="39"/>
      <c r="D28" s="39"/>
      <c r="E28" s="37"/>
      <c r="F28" s="39"/>
      <c r="AX28" s="54"/>
    </row>
    <row r="29" spans="1:62" ht="25.5" x14ac:dyDescent="0.55000000000000004">
      <c r="A29" s="46" t="s">
        <v>75</v>
      </c>
      <c r="B29" s="39"/>
      <c r="C29" s="39"/>
      <c r="D29" s="39"/>
      <c r="E29" s="39"/>
      <c r="F29" s="39"/>
    </row>
    <row r="30" spans="1:62" ht="31" x14ac:dyDescent="0.7">
      <c r="A30" s="46" t="s">
        <v>76</v>
      </c>
      <c r="B30" s="39"/>
      <c r="C30" s="39"/>
      <c r="D30" s="39"/>
      <c r="E30" s="39"/>
      <c r="F30" s="39"/>
      <c r="AY30" s="64"/>
    </row>
    <row r="31" spans="1:62" ht="25" x14ac:dyDescent="0.5">
      <c r="A31" s="37" t="s">
        <v>77</v>
      </c>
      <c r="B31" s="39"/>
      <c r="C31" s="39"/>
      <c r="D31" s="39"/>
      <c r="E31" s="39"/>
      <c r="F31" s="39"/>
    </row>
    <row r="32" spans="1:62" ht="25.5" x14ac:dyDescent="0.55000000000000004">
      <c r="A32" s="46" t="s">
        <v>78</v>
      </c>
      <c r="B32" s="39"/>
      <c r="C32" s="39"/>
      <c r="D32" s="39"/>
      <c r="E32" s="39"/>
      <c r="F32" s="39"/>
    </row>
    <row r="33" spans="1:51" ht="25.5" x14ac:dyDescent="0.55000000000000004">
      <c r="A33" s="46" t="s">
        <v>79</v>
      </c>
      <c r="B33" s="39"/>
      <c r="C33" s="39"/>
      <c r="D33" s="39"/>
      <c r="E33" s="39"/>
      <c r="F33" s="39"/>
      <c r="AV33" s="54">
        <v>1.34</v>
      </c>
      <c r="AW33" s="54">
        <v>1.69</v>
      </c>
      <c r="AX33" s="54">
        <f>(AW33-AV33)/AV33</f>
        <v>0.26119402985074613</v>
      </c>
      <c r="AY33" s="54">
        <f>AX33/15</f>
        <v>1.7412935323383075E-2</v>
      </c>
    </row>
    <row r="34" spans="1:51" ht="25.5" x14ac:dyDescent="0.55000000000000004">
      <c r="A34" s="46" t="s">
        <v>80</v>
      </c>
      <c r="B34" s="39"/>
      <c r="C34" s="39"/>
      <c r="D34" s="39"/>
      <c r="E34" s="39"/>
      <c r="F34" s="39"/>
    </row>
    <row r="35" spans="1:51" ht="25" x14ac:dyDescent="0.5">
      <c r="A35" s="37" t="s">
        <v>81</v>
      </c>
      <c r="B35" s="39"/>
      <c r="C35" s="39"/>
      <c r="D35" s="39"/>
      <c r="E35" s="39"/>
      <c r="F35" s="39"/>
    </row>
    <row r="36" spans="1:51" ht="25" x14ac:dyDescent="0.5">
      <c r="A36" s="37" t="s">
        <v>82</v>
      </c>
      <c r="B36" s="39"/>
      <c r="C36" s="39"/>
      <c r="D36" s="39"/>
      <c r="E36" s="39"/>
      <c r="F36" s="39"/>
    </row>
    <row r="37" spans="1:51" ht="25.5" x14ac:dyDescent="0.55000000000000004">
      <c r="A37" s="38" t="s">
        <v>83</v>
      </c>
      <c r="B37" s="39"/>
      <c r="C37" s="39"/>
      <c r="D37" s="40"/>
      <c r="E37" s="39"/>
      <c r="F37" s="39"/>
    </row>
    <row r="38" spans="1:51" ht="25" x14ac:dyDescent="0.5">
      <c r="A38" s="37" t="s">
        <v>84</v>
      </c>
      <c r="B38" s="39"/>
      <c r="C38" s="39"/>
      <c r="D38" s="37"/>
      <c r="E38" s="39"/>
      <c r="F38" s="39"/>
    </row>
    <row r="39" spans="1:51" ht="25" x14ac:dyDescent="0.5">
      <c r="A39" s="37" t="s">
        <v>85</v>
      </c>
      <c r="B39" s="39"/>
      <c r="C39" s="39"/>
      <c r="D39" s="37"/>
      <c r="E39" s="39"/>
      <c r="F39" s="39"/>
    </row>
    <row r="40" spans="1:51" ht="25.5" x14ac:dyDescent="0.55000000000000004">
      <c r="A40" s="38" t="s">
        <v>86</v>
      </c>
      <c r="B40" s="39"/>
      <c r="C40" s="39"/>
      <c r="D40" s="37"/>
      <c r="E40" s="39"/>
      <c r="F40" s="39"/>
    </row>
    <row r="41" spans="1:51" ht="25.5" x14ac:dyDescent="0.55000000000000004">
      <c r="A41" s="38" t="s">
        <v>87</v>
      </c>
      <c r="B41" s="42"/>
      <c r="C41" s="39"/>
      <c r="D41" s="40"/>
      <c r="E41" s="42"/>
      <c r="F41" s="39"/>
    </row>
    <row r="42" spans="1:51" ht="25.5" x14ac:dyDescent="0.55000000000000004">
      <c r="A42" s="38" t="s">
        <v>88</v>
      </c>
      <c r="B42" s="39"/>
      <c r="C42" s="39"/>
      <c r="D42" s="40"/>
      <c r="E42" s="39"/>
      <c r="F42" s="39"/>
    </row>
    <row r="43" spans="1:51" ht="25.5" thickBot="1" x14ac:dyDescent="0.55000000000000004">
      <c r="A43" s="37" t="s">
        <v>89</v>
      </c>
      <c r="B43" s="39"/>
      <c r="C43" s="44">
        <f>SUM(C28:C42)</f>
        <v>0</v>
      </c>
      <c r="D43" s="40"/>
      <c r="E43" s="39"/>
      <c r="F43" s="44">
        <f>SUM(F28:F42)</f>
        <v>0</v>
      </c>
    </row>
    <row r="44" spans="1:51" ht="25.5" thickTop="1" x14ac:dyDescent="0.5">
      <c r="A44" s="37" t="s">
        <v>90</v>
      </c>
      <c r="B44" s="39"/>
      <c r="C44" s="39"/>
      <c r="D44" s="37"/>
      <c r="E44" s="39"/>
      <c r="F44" s="39"/>
    </row>
    <row r="45" spans="1:51" ht="25" x14ac:dyDescent="0.5">
      <c r="A45" s="37" t="s">
        <v>91</v>
      </c>
      <c r="B45" s="39"/>
      <c r="C45" s="39"/>
      <c r="D45" s="37"/>
      <c r="E45" s="39"/>
      <c r="F45" s="39"/>
    </row>
    <row r="46" spans="1:51" ht="28.5" x14ac:dyDescent="0.65">
      <c r="A46" s="38" t="s">
        <v>92</v>
      </c>
      <c r="B46" s="39"/>
      <c r="C46" s="39"/>
      <c r="D46" s="40"/>
      <c r="E46" s="39"/>
      <c r="F46" s="39"/>
      <c r="AH46" s="65" t="s">
        <v>142</v>
      </c>
    </row>
    <row r="47" spans="1:51" ht="25.5" x14ac:dyDescent="0.55000000000000004">
      <c r="A47" s="38" t="s">
        <v>93</v>
      </c>
      <c r="B47" s="39"/>
      <c r="C47" s="39"/>
      <c r="D47" s="40"/>
      <c r="E47" s="39"/>
      <c r="F47" s="39"/>
    </row>
    <row r="48" spans="1:51" ht="25.5" x14ac:dyDescent="0.55000000000000004">
      <c r="A48" s="38" t="s">
        <v>94</v>
      </c>
      <c r="B48" s="39"/>
      <c r="C48" s="39"/>
      <c r="D48" s="40"/>
      <c r="E48" s="39"/>
      <c r="F48" s="39"/>
    </row>
    <row r="49" spans="1:6" ht="25" x14ac:dyDescent="0.5">
      <c r="A49" s="37" t="s">
        <v>95</v>
      </c>
      <c r="B49" s="39"/>
      <c r="C49" s="39"/>
      <c r="D49" s="37"/>
      <c r="E49" s="39"/>
      <c r="F49" s="39"/>
    </row>
    <row r="50" spans="1:6" ht="25" x14ac:dyDescent="0.5">
      <c r="A50" s="37" t="s">
        <v>96</v>
      </c>
      <c r="B50" s="39"/>
      <c r="C50" s="39"/>
      <c r="D50" s="37"/>
      <c r="E50" s="39"/>
      <c r="F50" s="39"/>
    </row>
    <row r="51" spans="1:6" ht="25.5" x14ac:dyDescent="0.55000000000000004">
      <c r="A51" s="38" t="s">
        <v>97</v>
      </c>
      <c r="B51" s="39"/>
      <c r="C51" s="39"/>
      <c r="D51" s="40"/>
      <c r="E51" s="39"/>
      <c r="F51" s="39"/>
    </row>
    <row r="52" spans="1:6" ht="25" x14ac:dyDescent="0.5">
      <c r="A52" s="37" t="s">
        <v>98</v>
      </c>
      <c r="B52" s="39"/>
      <c r="C52" s="39"/>
      <c r="D52" s="37"/>
      <c r="E52" s="39"/>
      <c r="F52" s="39"/>
    </row>
    <row r="53" spans="1:6" ht="25.5" x14ac:dyDescent="0.55000000000000004">
      <c r="A53" s="38" t="s">
        <v>97</v>
      </c>
      <c r="B53" s="39"/>
      <c r="C53" s="39"/>
      <c r="D53" s="37"/>
      <c r="E53" s="39"/>
      <c r="F53" s="39"/>
    </row>
    <row r="54" spans="1:6" ht="25.5" x14ac:dyDescent="0.55000000000000004">
      <c r="A54" s="38" t="s">
        <v>99</v>
      </c>
      <c r="B54" s="39"/>
      <c r="C54" s="39"/>
      <c r="D54" s="37"/>
      <c r="E54" s="39"/>
      <c r="F54" s="39"/>
    </row>
    <row r="55" spans="1:6" ht="25.5" x14ac:dyDescent="0.55000000000000004">
      <c r="A55" s="38" t="s">
        <v>100</v>
      </c>
      <c r="B55" s="42"/>
      <c r="C55" s="39"/>
      <c r="D55" s="40"/>
      <c r="E55" s="42"/>
      <c r="F55" s="39"/>
    </row>
    <row r="56" spans="1:6" ht="25.5" thickBot="1" x14ac:dyDescent="0.55000000000000004">
      <c r="A56" s="37" t="s">
        <v>101</v>
      </c>
      <c r="B56" s="39"/>
      <c r="C56" s="44">
        <f>SUM(C45:C55)</f>
        <v>0</v>
      </c>
      <c r="D56" s="40"/>
      <c r="E56" s="39"/>
      <c r="F56" s="44">
        <f>SUM(F45:F55)</f>
        <v>0</v>
      </c>
    </row>
    <row r="57" spans="1:6" ht="26" thickTop="1" x14ac:dyDescent="0.55000000000000004">
      <c r="A57" s="38"/>
      <c r="B57" s="37"/>
      <c r="C57" s="47"/>
      <c r="D57" s="37"/>
      <c r="E57" s="37"/>
      <c r="F57" s="47"/>
    </row>
    <row r="116" spans="1:6" ht="25.5" x14ac:dyDescent="0.55000000000000004">
      <c r="A116" s="38"/>
      <c r="B116" s="37"/>
      <c r="C116" s="37"/>
      <c r="D116" s="37"/>
      <c r="E116" s="38"/>
      <c r="F116" s="38"/>
    </row>
    <row r="117" spans="1:6" ht="25.5" x14ac:dyDescent="0.55000000000000004">
      <c r="A117" s="38"/>
      <c r="B117" s="37"/>
      <c r="C117" s="37"/>
      <c r="D117" s="37"/>
      <c r="E117" s="38"/>
      <c r="F117" s="38"/>
    </row>
  </sheetData>
  <mergeCells count="13">
    <mergeCell ref="B25:C25"/>
    <mergeCell ref="E25:F25"/>
    <mergeCell ref="AY6:BA6"/>
    <mergeCell ref="AY7:BA7"/>
    <mergeCell ref="AY8:BA8"/>
    <mergeCell ref="AY9:BA9"/>
    <mergeCell ref="AY10:BA10"/>
    <mergeCell ref="AY11:BA11"/>
    <mergeCell ref="AY20:BA20"/>
    <mergeCell ref="AY12:BA12"/>
    <mergeCell ref="AY13:BA13"/>
    <mergeCell ref="AY14:BA14"/>
    <mergeCell ref="AY15:BA15"/>
  </mergeCells>
  <phoneticPr fontId="14" type="noConversion"/>
  <hyperlinks>
    <hyperlink ref="AH46" r:id="rId1" xr:uid="{F0820A98-FA37-4F52-B4C8-9F9EE331489A}"/>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513B-2C6A-4DEF-B2DF-BC581656BAB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Nyckeltal</vt:lpstr>
      <vt:lpstr>Blad1</vt:lpstr>
      <vt:lpstr>ResultatanalysEXEMPEL</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 Englund</cp:lastModifiedBy>
  <dcterms:created xsi:type="dcterms:W3CDTF">2021-01-05T11:35:03Z</dcterms:created>
  <dcterms:modified xsi:type="dcterms:W3CDTF">2023-06-30T12:08:10Z</dcterms:modified>
</cp:coreProperties>
</file>